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455" windowHeight="2295" activeTab="1"/>
  </bookViews>
  <sheets>
    <sheet name="Explanation of categories" sheetId="1" r:id="rId1"/>
    <sheet name="Standard values" sheetId="2" r:id="rId2"/>
    <sheet name="Organic values" sheetId="3" r:id="rId3"/>
  </sheets>
  <definedNames>
    <definedName name="_xlnm._FilterDatabase" localSheetId="1" hidden="1">'Standard values'!$A$23:$AI$123</definedName>
    <definedName name="_xlfn.ANCHORARRAY" hidden="1">#NAME?</definedName>
    <definedName name="Excel_BuiltIn__FilterDatabase" localSheetId="2">'Organic values'!$A$23:$A$123</definedName>
    <definedName name="Excel_BuiltIn__FilterDatabase" localSheetId="1">'Standard values'!$A$23:$A$123</definedName>
  </definedNames>
  <calcPr fullCalcOnLoad="1"/>
</workbook>
</file>

<file path=xl/sharedStrings.xml><?xml version="1.0" encoding="utf-8"?>
<sst xmlns="http://schemas.openxmlformats.org/spreadsheetml/2006/main" count="1005" uniqueCount="418">
  <si>
    <t>How to use:</t>
  </si>
  <si>
    <t>REPORT</t>
  </si>
  <si>
    <t>Name</t>
  </si>
  <si>
    <t>Date</t>
  </si>
  <si>
    <t>Total crop value</t>
  </si>
  <si>
    <t>Bee value</t>
  </si>
  <si>
    <t>% directly from bees</t>
  </si>
  <si>
    <t>Crop</t>
  </si>
  <si>
    <t>Individual crop value</t>
  </si>
  <si>
    <t>Individual crop bee value</t>
  </si>
  <si>
    <t>Weight in g (total)</t>
  </si>
  <si>
    <t>shop value</t>
  </si>
  <si>
    <t>bee value</t>
  </si>
  <si>
    <t>av g per unit</t>
  </si>
  <si>
    <t>Price per g (or 1)</t>
  </si>
  <si>
    <t>per 100g</t>
  </si>
  <si>
    <t>Pollination requirement</t>
  </si>
  <si>
    <t>Source of price</t>
  </si>
  <si>
    <t>Almonds</t>
  </si>
  <si>
    <t>Waitrose 2018</t>
  </si>
  <si>
    <t>Amaranth (seeds)</t>
  </si>
  <si>
    <t>Apples (cooking)</t>
  </si>
  <si>
    <t>Ocado 2018</t>
  </si>
  <si>
    <t>Waitrose (loose apples) 2018</t>
  </si>
  <si>
    <t>Apples (eating)</t>
  </si>
  <si>
    <t>Apricots</t>
  </si>
  <si>
    <t>Artichokes (globe)</t>
  </si>
  <si>
    <t>Asparagus</t>
  </si>
  <si>
    <t>Aubergine</t>
  </si>
  <si>
    <t>Sainsburys 2018</t>
  </si>
  <si>
    <t>Beetroot</t>
  </si>
  <si>
    <t>Bilberries</t>
  </si>
  <si>
    <t>Waitrose</t>
  </si>
  <si>
    <t>Used blueberry prices</t>
  </si>
  <si>
    <t>Blackberries</t>
  </si>
  <si>
    <t>Blackcurrants</t>
  </si>
  <si>
    <t>Blueberries</t>
  </si>
  <si>
    <t>Borlotti beans</t>
  </si>
  <si>
    <t>Waitrose 2018 (tinned)</t>
  </si>
  <si>
    <t>Boysenberry</t>
  </si>
  <si>
    <t>Used raspberry values</t>
  </si>
  <si>
    <t>Broad beans</t>
  </si>
  <si>
    <t>Broccoli (head)</t>
  </si>
  <si>
    <t>Broccoli (sprouting)</t>
  </si>
  <si>
    <t>Brussel sprouts</t>
  </si>
  <si>
    <t>Bullace</t>
  </si>
  <si>
    <t>Cabbage</t>
  </si>
  <si>
    <t>Cape Gooseberry</t>
  </si>
  <si>
    <t>Carrots</t>
  </si>
  <si>
    <t>Celeriac</t>
  </si>
  <si>
    <t>Celery</t>
  </si>
  <si>
    <t>Chard</t>
  </si>
  <si>
    <t>Cherry</t>
  </si>
  <si>
    <t>Chestnut (edible)</t>
  </si>
  <si>
    <t>Chicory</t>
  </si>
  <si>
    <t>Chillies</t>
  </si>
  <si>
    <t>Chives</t>
  </si>
  <si>
    <t>Coriander (seeds)</t>
  </si>
  <si>
    <t>Courgettes / marrows</t>
  </si>
  <si>
    <t>Crab apples</t>
  </si>
  <si>
    <t>Cranberries</t>
  </si>
  <si>
    <t>Cucumbers</t>
  </si>
  <si>
    <t>Daikon / Mooli</t>
  </si>
  <si>
    <t>Damsons</t>
  </si>
  <si>
    <t>Farmer's market</t>
  </si>
  <si>
    <t>Elderberries</t>
  </si>
  <si>
    <t>Fennel</t>
  </si>
  <si>
    <t>Figs</t>
  </si>
  <si>
    <t>Fresh herbs (leaf)</t>
  </si>
  <si>
    <t>Garlic</t>
  </si>
  <si>
    <t>Gooseberries (cooking)</t>
  </si>
  <si>
    <t>Gooseberries (dessert)</t>
  </si>
  <si>
    <t>Grapes</t>
  </si>
  <si>
    <t>Green beans (French beans)</t>
  </si>
  <si>
    <t>Greengage</t>
  </si>
  <si>
    <t>Hazelnuts</t>
  </si>
  <si>
    <t>Japanese wineberries</t>
  </si>
  <si>
    <t>Jerusalem artichokes</t>
  </si>
  <si>
    <t>Jostaberries</t>
  </si>
  <si>
    <t>Kale</t>
  </si>
  <si>
    <t>Kiwi</t>
  </si>
  <si>
    <t>Waitrose 2013</t>
  </si>
  <si>
    <t>Kohlrabi</t>
  </si>
  <si>
    <t>Leeks</t>
  </si>
  <si>
    <t>Lemon</t>
  </si>
  <si>
    <t>Limes</t>
  </si>
  <si>
    <t>Loganberries / Tayberries</t>
  </si>
  <si>
    <t>Medlar</t>
  </si>
  <si>
    <t>Mullberry</t>
  </si>
  <si>
    <t>Mushrooms</t>
  </si>
  <si>
    <t>Nectarine</t>
  </si>
  <si>
    <t>Onions (root)</t>
  </si>
  <si>
    <t>Onions (shallots)</t>
  </si>
  <si>
    <t>Waitrose (midway between white and red onions)</t>
  </si>
  <si>
    <t>Onions (spring)</t>
  </si>
  <si>
    <t>Orange</t>
  </si>
  <si>
    <t>Other brassicas (e.g. spring greens)</t>
  </si>
  <si>
    <t>Pak choi</t>
  </si>
  <si>
    <t>Parsnips</t>
  </si>
  <si>
    <t>Passion fruit</t>
  </si>
  <si>
    <t>Peach</t>
  </si>
  <si>
    <t>Pears</t>
  </si>
  <si>
    <t>Peas (any edible type)</t>
  </si>
  <si>
    <t>Peppers</t>
  </si>
  <si>
    <t>Plum</t>
  </si>
  <si>
    <t>Waitrose 2018 (mid between bell and romano peppers)</t>
  </si>
  <si>
    <t>Potatoes (main crop)</t>
  </si>
  <si>
    <t>Potatoes (new / salad)</t>
  </si>
  <si>
    <t>Quinces</t>
  </si>
  <si>
    <t>Quinoa (seeds)</t>
  </si>
  <si>
    <t>Radish</t>
  </si>
  <si>
    <t>Raspberries</t>
  </si>
  <si>
    <t>Redcurrants</t>
  </si>
  <si>
    <t>Rhubarb</t>
  </si>
  <si>
    <t>Rosehips</t>
  </si>
  <si>
    <t>Runner beans</t>
  </si>
  <si>
    <t>Salsify</t>
  </si>
  <si>
    <t>Sloe</t>
  </si>
  <si>
    <t>Squash (summer)</t>
  </si>
  <si>
    <t>Squash (winter + pumpkins)</t>
  </si>
  <si>
    <t>Strawberries</t>
  </si>
  <si>
    <t>Swede</t>
  </si>
  <si>
    <t>Sweetcorn (babycorn)</t>
  </si>
  <si>
    <t>Sweetcorn (cobs)</t>
  </si>
  <si>
    <t>Tomatoes (cherry)</t>
  </si>
  <si>
    <t>Tomatoes (larger)</t>
  </si>
  <si>
    <t>Turnip</t>
  </si>
  <si>
    <t>Walnuts</t>
  </si>
  <si>
    <t>White currants</t>
  </si>
  <si>
    <t>Handful gs</t>
  </si>
  <si>
    <t>Mugful gs</t>
  </si>
  <si>
    <t>Packet gs</t>
  </si>
  <si>
    <t>Calculated oz in g</t>
  </si>
  <si>
    <t>Calculated individual</t>
  </si>
  <si>
    <r>
      <t xml:space="preserve">(or)
in </t>
    </r>
    <r>
      <rPr>
        <b/>
        <sz val="11"/>
        <color indexed="8"/>
        <rFont val="Calibri"/>
        <family val="2"/>
      </rPr>
      <t>Ounces</t>
    </r>
  </si>
  <si>
    <r>
      <t xml:space="preserve">in </t>
    </r>
    <r>
      <rPr>
        <b/>
        <sz val="11"/>
        <color indexed="8"/>
        <rFont val="Calibri"/>
        <family val="2"/>
      </rPr>
      <t>Grams</t>
    </r>
  </si>
  <si>
    <r>
      <t xml:space="preserve">(or)
in </t>
    </r>
    <r>
      <rPr>
        <b/>
        <sz val="11"/>
        <color indexed="8"/>
        <rFont val="Calibri"/>
        <family val="2"/>
      </rPr>
      <t>Handfuls</t>
    </r>
  </si>
  <si>
    <r>
      <t xml:space="preserve">(or) 
</t>
    </r>
    <r>
      <rPr>
        <b/>
        <sz val="11"/>
        <color indexed="8"/>
        <rFont val="Calibri"/>
        <family val="2"/>
      </rPr>
      <t>Number</t>
    </r>
    <r>
      <rPr>
        <sz val="11"/>
        <color indexed="8"/>
        <rFont val="Calibri"/>
        <family val="2"/>
      </rPr>
      <t xml:space="preserve"> of items</t>
    </r>
  </si>
  <si>
    <r>
      <t xml:space="preserve">(or)
in </t>
    </r>
    <r>
      <rPr>
        <b/>
        <sz val="11"/>
        <color indexed="8"/>
        <rFont val="Calibri"/>
        <family val="2"/>
      </rPr>
      <t>Mugfuls</t>
    </r>
  </si>
  <si>
    <t>Measurement types:</t>
  </si>
  <si>
    <r>
      <rPr>
        <b/>
        <sz val="11"/>
        <color indexed="8"/>
        <rFont val="Calibri"/>
        <family val="2"/>
      </rPr>
      <t>Handfuls.</t>
    </r>
    <r>
      <rPr>
        <sz val="11"/>
        <color indexed="8"/>
        <rFont val="Calibri"/>
        <family val="2"/>
      </rPr>
      <t xml:space="preserve">
Hands vary, so assume a handful = approx. an apple’s worth</t>
    </r>
  </si>
  <si>
    <r>
      <t xml:space="preserve">(or)
in </t>
    </r>
    <r>
      <rPr>
        <b/>
        <sz val="11"/>
        <color indexed="8"/>
        <rFont val="Calibri"/>
        <family val="2"/>
      </rPr>
      <t>Packets</t>
    </r>
  </si>
  <si>
    <r>
      <rPr>
        <b/>
        <sz val="11"/>
        <color indexed="8"/>
        <rFont val="Calibri"/>
        <family val="2"/>
      </rPr>
      <t xml:space="preserve">Packets. </t>
    </r>
    <r>
      <rPr>
        <sz val="11"/>
        <color indexed="8"/>
        <rFont val="Calibri"/>
        <family val="2"/>
      </rPr>
      <t>About as much as you would buy in a standard shop bag (for e.g. salad, fresh herbs)</t>
    </r>
  </si>
  <si>
    <r>
      <rPr>
        <b/>
        <sz val="11"/>
        <color indexed="63"/>
        <rFont val="Calibri"/>
        <family val="2"/>
      </rPr>
      <t xml:space="preserve">Number </t>
    </r>
    <r>
      <rPr>
        <sz val="11"/>
        <color indexed="63"/>
        <rFont val="Calibri"/>
        <family val="2"/>
      </rPr>
      <t>of items.
Tallies or counts of individual items. Better for big things (like squash).</t>
    </r>
  </si>
  <si>
    <r>
      <rPr>
        <b/>
        <sz val="11"/>
        <color indexed="8"/>
        <rFont val="Calibri"/>
        <family val="2"/>
      </rPr>
      <t>Weighed out.</t>
    </r>
    <r>
      <rPr>
        <sz val="11"/>
        <color indexed="8"/>
        <rFont val="Calibri"/>
        <family val="2"/>
      </rPr>
      <t xml:space="preserve">
In grams / ounces.</t>
    </r>
  </si>
  <si>
    <t>&lt;- this table updates automatically</t>
  </si>
  <si>
    <t>Hi folks!</t>
  </si>
  <si>
    <t>Record each harvest below:</t>
  </si>
  <si>
    <r>
      <t xml:space="preserve">This spreadsheet will calculate:
1) The </t>
    </r>
    <r>
      <rPr>
        <b/>
        <sz val="12"/>
        <color indexed="8"/>
        <rFont val="Calibri"/>
        <family val="2"/>
      </rPr>
      <t>total</t>
    </r>
    <r>
      <rPr>
        <sz val="12"/>
        <color indexed="8"/>
        <rFont val="Calibri"/>
        <family val="2"/>
      </rPr>
      <t xml:space="preserve"> value of your year's harvest, if you had had to buy it from a shop.
2) The value of the harvest that is </t>
    </r>
    <r>
      <rPr>
        <b/>
        <i/>
        <sz val="12"/>
        <color indexed="8"/>
        <rFont val="Calibri"/>
        <family val="2"/>
      </rPr>
      <t>directly</t>
    </r>
    <r>
      <rPr>
        <sz val="12"/>
        <color indexed="8"/>
        <rFont val="Calibri"/>
        <family val="2"/>
      </rPr>
      <t xml:space="preserve">attributable to insect pollination.
3) The </t>
    </r>
    <r>
      <rPr>
        <b/>
        <sz val="12"/>
        <color indexed="8"/>
        <rFont val="Calibri"/>
        <family val="2"/>
      </rPr>
      <t>percentage</t>
    </r>
    <r>
      <rPr>
        <sz val="12"/>
        <color indexed="8"/>
        <rFont val="Calibri"/>
        <family val="2"/>
      </rPr>
      <t xml:space="preserve"> of your harvest value that is attributable to insect pollination.
Only </t>
    </r>
    <r>
      <rPr>
        <b/>
        <sz val="12"/>
        <color indexed="8"/>
        <rFont val="Calibri"/>
        <family val="2"/>
      </rPr>
      <t>green</t>
    </r>
    <r>
      <rPr>
        <sz val="12"/>
        <color indexed="8"/>
        <rFont val="Calibri"/>
        <family val="2"/>
      </rPr>
      <t xml:space="preserve"> cells can be edited.  Please use the most appropriate measure for each harvest /picking.  
You can use different measures for different harvests (e.g. picked 350g apples on day 1, but couldn't weigh the apples picked next day so put a count of 3 instead).
Consider all crops in the state you would tend to buy them fresh from a shop (e.g. nuts shelled; beans and peas in their pods).</t>
    </r>
  </si>
  <si>
    <t>^  This graph will appear when there are values in the table!</t>
  </si>
  <si>
    <t>From bees</t>
  </si>
  <si>
    <t>Not from bees</t>
  </si>
  <si>
    <r>
      <t xml:space="preserve">
</t>
    </r>
    <r>
      <rPr>
        <b/>
        <sz val="11"/>
        <color indexed="8"/>
        <rFont val="Calibri"/>
        <family val="2"/>
      </rPr>
      <t xml:space="preserve">Mugfuls. </t>
    </r>
    <r>
      <rPr>
        <sz val="11"/>
        <color indexed="8"/>
        <rFont val="Calibri"/>
        <family val="2"/>
      </rPr>
      <t>Roughly how many mugs 
would it fill up? (e.g. for berries)</t>
    </r>
  </si>
  <si>
    <r>
      <t xml:space="preserve">This sheet uses </t>
    </r>
    <r>
      <rPr>
        <b/>
        <sz val="11"/>
        <color indexed="8"/>
        <rFont val="Calibri"/>
        <family val="2"/>
      </rPr>
      <t>standard</t>
    </r>
    <r>
      <rPr>
        <sz val="11"/>
        <color indexed="8"/>
        <rFont val="Calibri"/>
        <family val="2"/>
      </rPr>
      <t xml:space="preserve"> values.  If you garden organically, please use the 'organic' sheet</t>
    </r>
  </si>
  <si>
    <r>
      <t xml:space="preserve">This sheet uses </t>
    </r>
    <r>
      <rPr>
        <b/>
        <sz val="11"/>
        <color indexed="8"/>
        <rFont val="Calibri"/>
        <family val="2"/>
      </rPr>
      <t>organic</t>
    </r>
    <r>
      <rPr>
        <sz val="11"/>
        <color indexed="8"/>
        <rFont val="Calibri"/>
        <family val="2"/>
      </rPr>
      <t xml:space="preserve"> values.  If you do not garden organically, please use the 'standard' sheet</t>
    </r>
  </si>
  <si>
    <t>Happy Growing!
- Linda
buzzclub.uk@gmail.com</t>
  </si>
  <si>
    <r>
      <t xml:space="preserve">If you've used the Garden Shop calculator before, you might notice that we have added in some extra categories of measurement (you don't have to use these if you don't want to).
These </t>
    </r>
    <r>
      <rPr>
        <b/>
        <sz val="11"/>
        <color indexed="8"/>
        <rFont val="Calibri"/>
        <family val="2"/>
      </rPr>
      <t>more approximate</t>
    </r>
    <r>
      <rPr>
        <sz val="11"/>
        <color indexed="8"/>
        <rFont val="Calibri"/>
        <family val="2"/>
      </rPr>
      <t xml:space="preserve"> categories have been added based on requests from volunteers who grow in places where they don't have access to scales, or where picked produce is immediately used for cooking without chance to weigh it (e.g. allotments, community gardens).
The spreadsheet now also accepts </t>
    </r>
    <r>
      <rPr>
        <b/>
        <sz val="11"/>
        <color indexed="8"/>
        <rFont val="Calibri"/>
        <family val="2"/>
      </rPr>
      <t>multiple types of measurement</t>
    </r>
    <r>
      <rPr>
        <sz val="11"/>
        <color indexed="8"/>
        <rFont val="Calibri"/>
        <family val="2"/>
      </rPr>
      <t xml:space="preserve"> for one crop.  Please only use one type for </t>
    </r>
    <r>
      <rPr>
        <b/>
        <sz val="11"/>
        <color indexed="8"/>
        <rFont val="Calibri"/>
        <family val="2"/>
      </rPr>
      <t xml:space="preserve">each harvest, </t>
    </r>
    <r>
      <rPr>
        <sz val="11"/>
        <color indexed="8"/>
        <rFont val="Calibri"/>
        <family val="2"/>
      </rPr>
      <t>but if e.g. you were able to weigh one week's harvest, and have to estimate the next in handfuls, you can add them both to the table.</t>
    </r>
  </si>
  <si>
    <t>Salad leaves</t>
  </si>
  <si>
    <t>organic price</t>
  </si>
  <si>
    <t>Waitrose 2022</t>
  </si>
  <si>
    <t>Ocado 2022</t>
  </si>
  <si>
    <t>Used raspberry values 2022</t>
  </si>
  <si>
    <t>Farmer's market 2022</t>
  </si>
  <si>
    <t>link</t>
  </si>
  <si>
    <t>paper?</t>
  </si>
  <si>
    <t>https://www.waitrose.com/ecom/shop/browse/groceries/food_cupboard/crisps_snacks_and_nuts/nuts_seeds_and_dried_fruit/nuts/almonds?cat=269681&amp;sortBy=MOST_POPULAR</t>
  </si>
  <si>
    <t>other info</t>
  </si>
  <si>
    <t>Ocado 2022 (Biona organbic amaranth; 500g)</t>
  </si>
  <si>
    <t>https://www.ocado.com/products/biona-organic-amaranth-supergrain-269957011</t>
  </si>
  <si>
    <t>organic value same</t>
  </si>
  <si>
    <t>Waitrose (Essentials; bramley cooking apples); 2022</t>
  </si>
  <si>
    <t>https://www.waitrose.com/ecom/products/essential-british-bramley-cooking-apples/088601-45483-45484</t>
  </si>
  <si>
    <t>Waitrose (Essentials; seasonal apples) 2022</t>
  </si>
  <si>
    <t>https://www.waitrose.com/ecom/products/essential-seasonal-apples/088652-45537-45538</t>
  </si>
  <si>
    <t>https://www.waitrose.com/ecom/products/essential-home-ripening-apricots/088133-45115-45116</t>
  </si>
  <si>
    <t xml:space="preserve">Waitrose (Essential, home ripening apricots); 2022. </t>
  </si>
  <si>
    <t>Also updated individual weight based on 8 apricots in a stated 320g pack).</t>
  </si>
  <si>
    <t>https://www.researchgate.net/figure/Fresh-weight-mean-SD-of-different-artichoke-head-parts-g_tbl1_325323943</t>
  </si>
  <si>
    <t>also updated individual weight based on paper linked in reference</t>
  </si>
  <si>
    <t>https://www.waitrose.com/ecom/products/waitrose-asparagus/085482-43550-43551</t>
  </si>
  <si>
    <t>https://www.waitrose.com/ecom/products/duchy-organic-asparagus/085532-43618-43619</t>
  </si>
  <si>
    <t>Waitrose 2022 (Essentials)</t>
  </si>
  <si>
    <t>https://www.waitrose.com/ecom/products/essential-aubergine/085489-43562-43563</t>
  </si>
  <si>
    <t>https://www.waitrose.com/ecom/products/duchy-organic-aubergine/453475-538584-538585</t>
  </si>
  <si>
    <t>Waitrose 2022; bunched fresh beetroot</t>
  </si>
  <si>
    <t>https://www.waitrose.com/ecom/products/bunched-beetroot/085156-43248-43249</t>
  </si>
  <si>
    <t>Used blueberry prices 2022; waitrose</t>
  </si>
  <si>
    <t>https://www.waitrose.com/ecom/products/essential-blueberries/088036-45014-45015</t>
  </si>
  <si>
    <t>https://www.waitrose.com/ecom/products/duchy-organic-blueberries/088973-45748-45749</t>
  </si>
  <si>
    <t>Waitrose 2022; essentials</t>
  </si>
  <si>
    <t>https://www.waitrose.com/ecom/products/essential-blackberries/088065-45057-45058</t>
  </si>
  <si>
    <t>No organic option available for supermarkets</t>
  </si>
  <si>
    <t>https://www.riverford.co.uk/organic-fruit-veg-and-salad/fruit/blackcurrants</t>
  </si>
  <si>
    <t>Riverford 2022 (organic)</t>
  </si>
  <si>
    <t>Waitrose 2022 (tinned; essentials)</t>
  </si>
  <si>
    <t>https://www.waitrose.com/ecom/products/essential-borlotti-beans/019527-9457-9458</t>
  </si>
  <si>
    <t>https://www.waitrose.com/ecom/products/essential-raspberries/890609-151436-151437</t>
  </si>
  <si>
    <t>https://www.waitrose.com/ecom/products/duchy-organic-raspberries/096831-420677-49494</t>
  </si>
  <si>
    <t>Waitrose Essentials 2022</t>
  </si>
  <si>
    <t>https://www.waitrose.com/ecom/products/essential-broad-beans/049237-24532-24533</t>
  </si>
  <si>
    <t>Waitrose essentials 2022</t>
  </si>
  <si>
    <t>https://www.waitrose.com/ecom/products/essential-broccoli/085242-43323-43324</t>
  </si>
  <si>
    <t>Also updated individual weight based on website</t>
  </si>
  <si>
    <t>https://www.waitrose.com/ecom/products/duchy-organic-broccoli/477602-428563-67380</t>
  </si>
  <si>
    <t>https://www.waitrose.com/ecom/products/waitrose-tenderstem-broccoli-spears/521575-549946-549947</t>
  </si>
  <si>
    <t>https://www.waitrose.com/ecom/products/duchy-organic-tenderstem-broccoli/521800-73782-73783</t>
  </si>
  <si>
    <t>https://www.waitrose.com/ecom/products/waitrose-trimmed-baby-sprouts/393962-55357-55358</t>
  </si>
  <si>
    <t>https://www.riverford.co.uk/organic-fruit-veg-and-salad/vegetables/brussels-sprouts</t>
  </si>
  <si>
    <t>https://www.riverford.co.uk/organic-fruit-veg-and-salad/fruit/damsons</t>
  </si>
  <si>
    <t>Waitrose Essentials 2022; pointed cabbage</t>
  </si>
  <si>
    <t>https://www.waitrose.com/ecom/products/essential-pointed-spring-cabbage/085213-43285-43286</t>
  </si>
  <si>
    <t>https://www.waitrose.com/ecom/products/duchy-organic-pointed-spring-cabbage/085524-43608-43609</t>
  </si>
  <si>
    <t>https://www.waitrose.com/ecom/products/waitrose-physalis/088241-45208-45209</t>
  </si>
  <si>
    <t>https://www.waitrose.com/ecom/products/essential-carrots/085125-43221-43222</t>
  </si>
  <si>
    <t>https://www.waitrose.com/ecom/products/duchy-organic-carrots/085581-43671-43672</t>
  </si>
  <si>
    <t>https://www.waitrose.com/ecom/products/celeriac/790547-693900-693901</t>
  </si>
  <si>
    <t>https://www.waitrose.com/ecom/products/essential-green-celery/086445-44146-44147</t>
  </si>
  <si>
    <t>https://www.waitrose.com/ecom/products/duchy-organic-celery/085556-43648-43649</t>
  </si>
  <si>
    <t>https://www.waitrose.com/ecom/products/waitrose-swiss-chard/642758-138093-138094</t>
  </si>
  <si>
    <t>https://www.riverford.co.uk/organic-fruit-veg-and-salad/vegetables/swiss-chard</t>
  </si>
  <si>
    <t>https://www.riverford.co.uk/organic-fruit-veg-and-salad/fruit/cherries</t>
  </si>
  <si>
    <t>https://www.waitrose.com/ecom/products/cherries/054073-27123-27124</t>
  </si>
  <si>
    <t>Waitrose 2022 (Merchant Gourmet)</t>
  </si>
  <si>
    <t>https://www.waitrose.com/ecom/products/merchant-gourmet-whole-chestnuts/834799-464698-464699</t>
  </si>
  <si>
    <t>https://www.waitrose.com/ecom/products/waitrose-chicory/086418-44126-44127</t>
  </si>
  <si>
    <t>https://www.riverford.co.uk/organic-fruit-veg-and-salad/vegetables/chicory</t>
  </si>
  <si>
    <t>https://www.waitrose.com/ecom/products/cooks-ingredients-red-chillies/080879-41159-41160</t>
  </si>
  <si>
    <t>https://www.waitrose.com/ecom/products/cooks-ingredients-chives/086104-43927-43928</t>
  </si>
  <si>
    <t>https://www.riverford.co.uk/organic-fruit-veg-and-salad/salad/chives</t>
  </si>
  <si>
    <t>https://www.waitrose.com/ecom/products/bart-coriander-seeds/007306-3397-3398</t>
  </si>
  <si>
    <t>Waitrose 2022 (Barts)</t>
  </si>
  <si>
    <t>Couldn't find consistent organic price, using the same</t>
  </si>
  <si>
    <t>https://www.waitrose.com/ecom/products/essential-courgettes/085437-43488-43489</t>
  </si>
  <si>
    <t>https://www.waitrose.com/ecom/products/duchy-organic-courgettes/520941-137985-137986</t>
  </si>
  <si>
    <t>https://www.abelandcole.co.uk/shop/product/5080/crab-apples-organic-750g?altmenu=carrot</t>
  </si>
  <si>
    <t>Could not find consistent non-organic values, so using those for both</t>
  </si>
  <si>
    <t>https://www.waitrose.com/ecom/products/cooks-ingredients-frozen-cranberries/600726-673423-673424</t>
  </si>
  <si>
    <t>https://www.waitrose.com/ecom/products/essential-cucumber/086468-44158-44159</t>
  </si>
  <si>
    <t>Waitrose Essential 2022</t>
  </si>
  <si>
    <t>https://www.waitrose.com/ecom/products/duchy-organic-salad-cucumber/564598-79966-79967</t>
  </si>
  <si>
    <t>https://www.ocado.com/products/ocado-mooli-64511011</t>
  </si>
  <si>
    <t>https://www.riverford.co.uk/shop/daikon-radish</t>
  </si>
  <si>
    <t>No information found for fresh</t>
  </si>
  <si>
    <t>https://www.buywholefoodsonline.co.uk/organic-elderberries.html</t>
  </si>
  <si>
    <t>Various / dried</t>
  </si>
  <si>
    <t>https://www.waitrose.com/ecom/products/fennel/672137-693810-693811</t>
  </si>
  <si>
    <t>https://www.ocado.com/products/m-s-figs-perfectly-ripe-517702011</t>
  </si>
  <si>
    <t>Ocado</t>
  </si>
  <si>
    <t>https://www.waitrose.com/ecom/shop/search?&amp;searchTerm=herbs</t>
  </si>
  <si>
    <t>https://www.waitrose.com/ecom/products/cooks-ingredients-garlic/086144-43989-43990</t>
  </si>
  <si>
    <t>https://www.waitrose.com/ecom/products/duchy-organic-garlic/085305-43382-43383</t>
  </si>
  <si>
    <t>https://www.waitrose.com/ecom/products/cooks-ingredients-gooseberries/088023-45002-45003</t>
  </si>
  <si>
    <t>https://www.riverford.co.uk/organic-fruit-veg-and-salad/fruit/gooseberries</t>
  </si>
  <si>
    <t>https://www.waitrose.com/ecom/products/waitrose-dessert-gooseberries/088033-45008-45009</t>
  </si>
  <si>
    <t>https://www.waitrose.com/ecom/products/essential-red-seedless-grapes/376787-53052-53053</t>
  </si>
  <si>
    <t>https://www.waitrose.com/ecom/products/essential-round-beans/085416-43452-43453</t>
  </si>
  <si>
    <t>https://www.waitrose.com/ecom/products/duchy-organic-green-beans/085542-43632-43633</t>
  </si>
  <si>
    <t>Using plum values</t>
  </si>
  <si>
    <t>https://www.waitrose.com/ecom/products/essential-plums/088112-45097-45098</t>
  </si>
  <si>
    <t>https://www.waitrose.com/ecom/products/duchy-organic-plums/088111-45095-45096</t>
  </si>
  <si>
    <t>https://www.waitrose.com/ecom/products/waitrose-hazelnuts/038051-18996-18997</t>
  </si>
  <si>
    <t>https://www.waitrose.com/ecom/products/duchy-organic-hazelnuts/047993-23775-23776</t>
  </si>
  <si>
    <t>https://www.riverford.co.uk/organic-fruit-veg-and-salad/vegetables/jerusalem-artichokes</t>
  </si>
  <si>
    <t>https://www.waitrose.com/ecom/products/waitrose-jerusalem-artichokes/085488-43560-43561</t>
  </si>
  <si>
    <t>https://www.waitrose.com/ecom/products/essential-kale/807994-373599-373600</t>
  </si>
  <si>
    <t>https://www.waitrose.com/ecom/products/duchy-organic-kale/052554-26201-26202</t>
  </si>
  <si>
    <t>https://www.waitrose.com/ecom/products/essential-kiwi-fruit/088201-45168-45169</t>
  </si>
  <si>
    <t>https://www.ocado.com/products/natoora-italian-kohlrabi-67566011</t>
  </si>
  <si>
    <t>https://www.riverford.co.uk/organic-fruit-veg-and-salad/vegetables/kohlrabi</t>
  </si>
  <si>
    <t>https://www.waitrose.com/ecom/products/essential-leeks/085201-43266-43267</t>
  </si>
  <si>
    <t>https://www.waitrose.com/ecom/products/duchy-organic-leeks/740318-443842-443843</t>
  </si>
  <si>
    <t>https://www.waitrose.com/ecom/products/essential-lemon/088411-45361-45362</t>
  </si>
  <si>
    <t>https://www.waitrose.com/ecom/products/duchy-organic-lemons/088911-428558-45709</t>
  </si>
  <si>
    <t>https://www.waitrose.com/ecom/products/duchy-organic-babyleaf-rocket-salad/483605-349790-349791</t>
  </si>
  <si>
    <t>https://www.waitrose.com/ecom/products/essential-mixed-salad/053142-26529-26530</t>
  </si>
  <si>
    <t>https://www.waitrose.com/ecom/products/essential-limes/088458-45397-45398</t>
  </si>
  <si>
    <t>Waitrose 2022 (blackberry values)</t>
  </si>
  <si>
    <t>https://www.waitrose.com/ecom/products/essential-cup-mushrooms/085704-43729-43729</t>
  </si>
  <si>
    <t>https://www.waitrose.com/ecom/products/duchy-organic-white-cup-mushrooms/085714-43734-43735</t>
  </si>
  <si>
    <t>https://www.waitrose.com/ecom/products/duchy-organic-nectarines/088526-45449-45450</t>
  </si>
  <si>
    <t>https://www.waitrose.com/ecom/products/essential-yellow-flesh-nectarine/088171-45145-45146</t>
  </si>
  <si>
    <t>https://www.waitrose.com/ecom/products/essential-onions/085115-43203-43204</t>
  </si>
  <si>
    <t>https://www.waitrose.com/ecom/products/duchy-organic-onions/085511-43590-43591</t>
  </si>
  <si>
    <t>https://www.riverford.co.uk/organic-fruit-veg-and-salad/vegetables/shallots</t>
  </si>
  <si>
    <t>https://www.waitrose.com/ecom/products/shallots/856360-694024-694025</t>
  </si>
  <si>
    <t>https://www.waitrose.com/ecom/products/essential-salad-onions-bunched/086453-44148-44149</t>
  </si>
  <si>
    <t>https://www.waitrose.com/ecom/products/duchy-organic-salad-onions/086479-44168-44169</t>
  </si>
  <si>
    <t>https://www.waitrose.com/ecom/products/essential-oranges/088403-45348-45349</t>
  </si>
  <si>
    <t>https://www.waitrose.com/ecom/products/duchy-organic-oranges/088404-428557-45350</t>
  </si>
  <si>
    <t>https://www.riverford.co.uk/organic-fruit-veg-and-salad/vegetables/summer-greens</t>
  </si>
  <si>
    <t>https://www.waitrose.com/ecom/products/essential-spring-greens/814257-422017-422018</t>
  </si>
  <si>
    <t>https://www.waitrose.com/ecom/products/green-pak-choi/086170-44013-44014</t>
  </si>
  <si>
    <t>https://www.riverford.co.uk/organic-fruit-veg-and-salad/vegetables/pak-choi</t>
  </si>
  <si>
    <t>https://www.waitrose.com/ecom/products/essential-parsnips/085147-43236-43237</t>
  </si>
  <si>
    <t>https://www.riverford.co.uk/organic-fruit-veg-and-salad/vegetables/parsnips</t>
  </si>
  <si>
    <t>https://www.waitrose.com/ecom/products/passion-fruit/088246-45216-45217</t>
  </si>
  <si>
    <t>https://www.riverford.co.uk/organic-fruit-veg-and-salad/fruit/passion-fruit</t>
  </si>
  <si>
    <t>https://www.waitrose.com/ecom/products/essential-waitrose-peaches/088184-45154-45155</t>
  </si>
  <si>
    <t>https://www.waitrose.com/ecom/products/duchy-organic-pears/058554-29463-29464</t>
  </si>
  <si>
    <t>https://www.waitrose.com/ecom/products/essential-pears/613640-255413-255414</t>
  </si>
  <si>
    <t>https://www.riverford.co.uk/organic-fruit-veg-and-salad/vegetables/garden-peas</t>
  </si>
  <si>
    <t>https://www.waitrose.com/ecom/products/essential-peas/040760-20134-20135</t>
  </si>
  <si>
    <t>https://www.waitrose.com/ecom/products/essential-red-peppers/086412-44120-44121</t>
  </si>
  <si>
    <t>https://www.waitrose.com/ecom/products/duchy-organic-peppers/085558-43652-43653</t>
  </si>
  <si>
    <t>https://www.waitrose.com/ecom/products/essential-potatoes/634836-683054-683055</t>
  </si>
  <si>
    <t>https://www.waitrose.com/ecom/products/duchy-organic-potatoes/085504-428552-43583</t>
  </si>
  <si>
    <t>https://www.waitrose.com/ecom/products/essential-charlotte-potatoes/521711-682894-682895</t>
  </si>
  <si>
    <t>https://www.riverford.co.uk/organic-fruit-veg-and-salad/fruit/quince-x-3</t>
  </si>
  <si>
    <t>Could not find non organic price</t>
  </si>
  <si>
    <t>https://www.waitrose.com/ecom/products/waitrose-quinoa/059324-29873-29874</t>
  </si>
  <si>
    <t>https://www.waitrose.com/ecom/products/duchy-organic-british-quinoa/421665-524159-524160</t>
  </si>
  <si>
    <t>https://www.waitrose.com/ecom/products/essential-radish/086458-44154-44155</t>
  </si>
  <si>
    <t>https://www.riverford.co.uk/organic-fruit-veg-and-salad/salad/bunched-radish?s=product-grid-21</t>
  </si>
  <si>
    <t>https://www.sainsburys.co.uk/gol-ui/product/berries-cherries-currants/sainsburys-redcurrants-150g</t>
  </si>
  <si>
    <t>Sainsburys 2022</t>
  </si>
  <si>
    <t>https://www.riverford.co.uk/organic-fruit-veg-and-salad/fruit/redcurrants</t>
  </si>
  <si>
    <t>https://www.riverford.co.uk/organic-fruit-veg-and-salad/fruit/rhubarb</t>
  </si>
  <si>
    <t>https://www.waitrose.com/ecom/products/cooks-ingredients-rhubarb/062328-31649-31650</t>
  </si>
  <si>
    <t>Keep old values; could not find anything</t>
  </si>
  <si>
    <t>https://www.riverford.co.uk/organic-fruit-veg-and-salad/vegetables/runner-beans</t>
  </si>
  <si>
    <t>https://www.waitrose.com/ecom/products/essential-runner-beans/085428-43472-43473</t>
  </si>
  <si>
    <t>Use organic values; could not find supermarket standard</t>
  </si>
  <si>
    <t>https://www.riverford.co.uk/organic-fruit-veg-and-salad/vegetables/squash-patty-pan</t>
  </si>
  <si>
    <t>https://www.waitrose.com/ecom/products/assorted-squash/472518-66640-66641</t>
  </si>
  <si>
    <t>https://www.riverford.co.uk/seasonal-organic-boxes/organic-veg-boxes/squash-box</t>
  </si>
  <si>
    <t>https://www.waitrose.com/ecom/products/essential-british-strawberries/583260-781153-781154</t>
  </si>
  <si>
    <t>https://www.waitrose.com/ecom/products/duchy-organic-british-strawberries/529013-780309-780310</t>
  </si>
  <si>
    <t>https://www.waitrose.com/ecom/products/waitrose-swede/711694-759814-759815</t>
  </si>
  <si>
    <t>https://www.riverford.co.uk/organic-fruit-veg-and-salad/vegetables/swede</t>
  </si>
  <si>
    <t>https://www.waitrose.com/ecom/products/essential-sweetcorn/085481-43548-43549</t>
  </si>
  <si>
    <t>https://www.waitrose.com/ecom/products/waitrose-baby-corn/085466-43528-43529</t>
  </si>
  <si>
    <t>https://www.riverford.co.uk/organic-fruit-veg-and-salad/vegetables/sweetcorn-on-the-cob</t>
  </si>
  <si>
    <t>https://www.riverford.co.uk/organic-fruit-veg-and-salad/vegetables/baby-sweetcorn</t>
  </si>
  <si>
    <t>https://www.waitrose.com/ecom/products/duchy-organic-cherry-vine-tomatoes/097155-49612-49613</t>
  </si>
  <si>
    <t>https://www.waitrose.com/ecom/products/duchy-organic-vine-tomatoes/086508-44188-44189</t>
  </si>
  <si>
    <t>https://www.waitrose.com/ecom/products/essential-tomatoes/086503-44184-44185</t>
  </si>
  <si>
    <t>https://www.sainsburys.co.uk/gol-ui/product/new-in-season/sainsburys-white-turnips-loose</t>
  </si>
  <si>
    <t>https://www.riverford.co.uk/organic-fruit-veg-and-salad/vegetables/turnips</t>
  </si>
  <si>
    <t>https://www.waitrose.com/ecom/products/waitrose-walnuts/088876-45677-45678</t>
  </si>
  <si>
    <t>https://www.waitrose.com/ecom/products/duchy-organic-gala-apples/088358-45326-45327</t>
  </si>
  <si>
    <t>https://www.riverford.co.uk/organic-fruit-veg-and-salad/fruit/cooking-apples</t>
  </si>
  <si>
    <t>https://www.riverford.co.uk/organic-fruit-veg-and-salad/fruit/apricots</t>
  </si>
  <si>
    <t>https://www.waitrose.com/ecom/products/globe-artichoke/085487-43558-43559</t>
  </si>
  <si>
    <t>https://www.riverford.co.uk/organic-fruit-veg-and-salad/vegetables/globe-artichoke</t>
  </si>
  <si>
    <t>https://www.riverford.co.uk/organic-fruit-veg-and-salad/vegetables/celeriac</t>
  </si>
  <si>
    <t>https://www.riverford.co.uk/organic-fruit-veg-and-salad/herbs-and-spices</t>
  </si>
  <si>
    <t>notes</t>
  </si>
  <si>
    <t>source of price</t>
  </si>
  <si>
    <t>https://www.waitrose.com/ecom/products/cherry-vine-tomatoes/009596-4741-4742</t>
  </si>
  <si>
    <t>Note: did not use essentials because it is a MASSIVE difference between essentials cherry and dutchy vine cherry)</t>
  </si>
  <si>
    <t>Previous source (1)</t>
  </si>
  <si>
    <t>Previous price (1)</t>
  </si>
  <si>
    <t>previous source (2)</t>
  </si>
  <si>
    <t>Previous price (2)</t>
  </si>
  <si>
    <t>https://www.waitrose.com/ecom/products/waitrose-almonds/053832-26982-26983</t>
  </si>
  <si>
    <t>Ocado 2023 (Biona organbic amaranth; 500g)</t>
  </si>
  <si>
    <t>Waitrose 2023</t>
  </si>
  <si>
    <t>https://www.waitrose.com/ecom/products/duchy-organic-almonds/568846-753965-753966</t>
  </si>
  <si>
    <t>Waitrose (Essentials; bramley cooking apples); 2023</t>
  </si>
  <si>
    <t>Waitrose (Essentials; seasonal apples) 2023</t>
  </si>
  <si>
    <t xml:space="preserve">Waitrose (Essential, home ripening apricots); 2023. </t>
  </si>
  <si>
    <t>Waitrose (Essentials) 2023</t>
  </si>
  <si>
    <t>Waitrose 2023; bunched fresh beetroot</t>
  </si>
  <si>
    <t>https://www.waitrose.com/ecom/products/waitrose-bunched-beetroot/085156-43248-43249</t>
  </si>
  <si>
    <t>https://www.waitrose.com/ecom/products/duchy-organic-beetroot/625836-619861-619862</t>
  </si>
  <si>
    <t>Not listed by weight, but description is the same as 'bunched beetroot' not organic, so assumed same</t>
  </si>
  <si>
    <t>Used blueberry prices 2023; waitrose essentials</t>
  </si>
  <si>
    <t>Waitrose 2023; essentials</t>
  </si>
  <si>
    <t>https://www.waitrose.com/ecom/products/cooks-ingredients-blackcurrants/088039-730554-45018</t>
  </si>
  <si>
    <t>Waitrose 2023, Cook's Ingredients</t>
  </si>
  <si>
    <t>https://www.waitrose.com/ecom/products/waitrose-essential-borlotti-beans/019527-9457-9458</t>
  </si>
  <si>
    <t>Waitrose 2023 (tinned; essentials)</t>
  </si>
  <si>
    <t>Used raspberry values 2023</t>
  </si>
  <si>
    <t>Waitrose Essentials 2023</t>
  </si>
  <si>
    <t>Waitrose essentials 2023</t>
  </si>
  <si>
    <t>Waitrose Essentials 2023; pointed cabbage</t>
  </si>
  <si>
    <t>https://www.waitrose.com/ecom/products/essential-carrots/085127-415835-43225</t>
  </si>
  <si>
    <t>Waitrose 2023; Swiss chard</t>
  </si>
  <si>
    <t>Waitrose 2023 (Merchant Gourmet)</t>
  </si>
  <si>
    <t>Waitrose Cooks ingredients 2023</t>
  </si>
  <si>
    <t>https://www.waitrose.com/ecom/products/cooks-ingredients-coriander-seeds/804467-785146-785147</t>
  </si>
  <si>
    <t>Note: Waitrose now has own brand corridaner seeds, used that rather than Barts for 2023</t>
  </si>
  <si>
    <t>Waitrose Essential 2023</t>
  </si>
  <si>
    <t>https://www.waitrose.com/ecom/products/waitrose-soft-figs/840930-782818-782819</t>
  </si>
  <si>
    <t>Didn't have last year</t>
  </si>
  <si>
    <t>Waitrose Cook's Ingredients 2023</t>
  </si>
  <si>
    <t>https://www.waitrose.com/ecom/products/essential-red-grapes/088580-45469-45470</t>
  </si>
  <si>
    <t>https://www.waitrose.com/ecom/products/fine-green-beans/824605-231191-231192</t>
  </si>
  <si>
    <t>https://www.waitrose.com/ecom/products/waitrose-essential-home-ripening-kiwi/755645-795874-795875</t>
  </si>
  <si>
    <t>https://www.waitrose.com/ecom/products/duchy-organic-green-kiwi/010098-5022-5023</t>
  </si>
  <si>
    <t>https://www.waitrose.com/ecom/products/essential-lemons/088413-45363-45364</t>
  </si>
  <si>
    <t>Used Blackberry values 2023</t>
  </si>
  <si>
    <t>https://www.waitrose.com/ecom/products/duchy-organic-baby-potatoes/816562-777436-777437</t>
  </si>
  <si>
    <t>https://www.waitrose.com/ecom/products/waitrose-strawberries/088067-372145-45059</t>
  </si>
  <si>
    <t>https://www.waitrose.com/ecom/products/duchy-organic-walnuts/436004-753509-753510</t>
  </si>
  <si>
    <t>https://www.abelandcole.co.uk/blackberries-organic-125g</t>
  </si>
  <si>
    <t>https://www.riverford.co.uk/organic-fruit-veg-and-salad/vegetables/borlotti-beans-small</t>
  </si>
  <si>
    <t>https://www.riverford.co.uk/organic-fruit-veg-and-salad/vegetables/broad-beans</t>
  </si>
  <si>
    <t>Riverford 2023 (organic)</t>
  </si>
  <si>
    <t>https://www.abelandcole.co.uk/shop/product/2009/cranberries-organic-200g</t>
  </si>
  <si>
    <t>https://www.abelandcole.co.uk/shop/product/5080/crab-apples-organic-750g</t>
  </si>
  <si>
    <t>Used damson prices 2023</t>
  </si>
  <si>
    <t>https://www.abelandcole.co.uk/shop/product/4887</t>
  </si>
  <si>
    <t>https://www.riverford.co.uk/shop/chestnuts-500g</t>
  </si>
  <si>
    <t>https://www.riverford.co.uk/organic-fruit-veg-and-salad/vegetables/chillies-mixed</t>
  </si>
  <si>
    <t>https://www.sainsburys.co.uk/gol-ui/product/sainsburys-mooli-loose?catalogId=10241&amp;productId=130848&amp;storeId=10151&amp;langId=44&amp;krypto=tNMkoy9hCvPtO90JNquJb%2FyDfqpsrs5oZksn4uHlCc4ulci7CHPsa%2FN2Bv1y4FK2U1jT4n%2FfgTA9fiPuzCsJdStUt9eHlylNoin9T2CU6NPITLcLlAZrLteupeFZ2hFGVtfeikaQVMn9PTHEWX9cSg4X4uNVQxKAwBB2Zpt9kAiw9rbRCeGRCDju8%2FE%2BCDULKkiH8GoU2VfHrsKmVOAOMQ%3D%3D&amp;ddkey=https%3Agb%2Fgroceries%2Fsainsburys-mooli-loose</t>
  </si>
  <si>
    <t>Sainsburys 2023</t>
  </si>
  <si>
    <t>https://www.riverford.co.uk/organic-fruit-veg-and-salad/vegetables/fennel-bulb</t>
  </si>
  <si>
    <t>https://www.riverford.co.uk/organic-fruit-veg-and-salad/fruit/figs-black</t>
  </si>
  <si>
    <t>https://www.riverford.co.uk/organic-fruit-veg-and-salad/fruit/organic-seedless-grapes</t>
  </si>
  <si>
    <t>https://www.abelandcole.co.uk/shop/product/3190/jostaberries</t>
  </si>
  <si>
    <t>Use gooseberry value</t>
  </si>
  <si>
    <t>Ocado 2023</t>
  </si>
  <si>
    <t>https://www.riverford.co.uk/organic-fruit-veg-and-salad/fruit/limes</t>
  </si>
  <si>
    <t>https://www.abelandcole.co.uk/peaches-500g</t>
  </si>
  <si>
    <t>https://www.sainsburys.co.uk/gol-ui/product/sainsburys-redcurrants-150g?productId=124336&amp;utm_campaign=20333793068&amp;utm_medium=cpc&amp;storeId=10151&amp;gclid=CjwKCAjw-7OlBhB8EiwAnoOEkzxQTSXu6hgHNUQ_bzAKaWyXPoGD9Ko-l9efZzYKl7fmGUvMtfM_3BoC7W4QAvD_BwE&amp;catalogId=10241&amp;langId=44&amp;utm_source=Google&amp;krypto=OEqT5heaRm9cf4rogGiRhKryhC39hhPSd42tBZRU6%2FvQWgG6QqBFwTbm4ecoeHCv9XcqPWRDH8upmG876LTRVOvwb4s3fdhhaqFXe%2FDfGDl7tGEUl5ApkiYqfzc0AkWdb2rLcr%2FbcwD2cIf75%2BmdyCh66p7l0urdtLp9jX%2BcN%2Fa2WkmqJgL8JumhTdef3YFLJxXMp2gXqQ4%2Fd%2FoXm%2BXtEYsHau3812wrLvlDSlCw4l%2BpJma2%2FLDXCmXKRRdotrl8YCJWM1kVM2EKTA%2FHkJEOngzY9h5gEW%2B4ta9r1I8QbDc5TPjuiX0UBUcs94iQ%2FDL6HnhV5CB65r6pp8tU%2FJHJrlTePitcRMXGXkjCOTG7Mx9CFTxwnr3js%2FTK%2BkAyo7632vveEjL0pUx%2BiRknzvbwdF5P%2BrLgKfmbJUdQmMaDsSI%3D&amp;ddkey=https%3Agb%2Fgroceries%2Fsainsburys-redcurrants-150g</t>
  </si>
  <si>
    <t>https://www.riverford.co.uk/organic-fruit-veg-and-salad/veg/salsify</t>
  </si>
  <si>
    <t>https://www.sainsburys.co.uk/gol-ui/product/sainsburys-white-turnips-loose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</si>
</sst>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809]#,##0.00"/>
    <numFmt numFmtId="174" formatCode="&quot;Yes&quot;;&quot;Yes&quot;;&quot;No&quot;"/>
    <numFmt numFmtId="175" formatCode="&quot;True&quot;;&quot;True&quot;;&quot;False&quot;"/>
    <numFmt numFmtId="176" formatCode="&quot;On&quot;;&quot;On&quot;;&quot;Off&quot;"/>
    <numFmt numFmtId="177" formatCode="[$€-2]\ #,##0.00_);[Red]\([$€-2]\ #,##0.00\)"/>
    <numFmt numFmtId="178" formatCode="&quot;£&quot;#,##0.00"/>
  </numFmts>
  <fonts count="63">
    <font>
      <sz val="11"/>
      <color rgb="FF000000"/>
      <name val="Calibri"/>
      <family val="2"/>
    </font>
    <font>
      <sz val="11"/>
      <color indexed="8"/>
      <name val="Calibri"/>
      <family val="2"/>
    </font>
    <font>
      <sz val="12"/>
      <color indexed="8"/>
      <name val="Calibri"/>
      <family val="2"/>
    </font>
    <font>
      <sz val="11"/>
      <name val="Calibri"/>
      <family val="2"/>
    </font>
    <font>
      <b/>
      <sz val="12"/>
      <color indexed="8"/>
      <name val="Calibri"/>
      <family val="2"/>
    </font>
    <font>
      <sz val="12"/>
      <name val="Calibri"/>
      <family val="2"/>
    </font>
    <font>
      <sz val="10"/>
      <name val="Helvetica Neue"/>
      <family val="0"/>
    </font>
    <font>
      <b/>
      <sz val="11"/>
      <color indexed="8"/>
      <name val="Calibri"/>
      <family val="2"/>
    </font>
    <font>
      <b/>
      <i/>
      <sz val="12"/>
      <color indexed="8"/>
      <name val="Calibri"/>
      <family val="2"/>
    </font>
    <font>
      <sz val="11"/>
      <color indexed="63"/>
      <name val="Calibri"/>
      <family val="2"/>
    </font>
    <font>
      <b/>
      <sz val="11"/>
      <color indexed="63"/>
      <name val="Calibri"/>
      <family val="2"/>
    </font>
    <font>
      <sz val="14"/>
      <name val="Calibri"/>
      <family val="2"/>
    </font>
    <font>
      <b/>
      <sz val="14"/>
      <name val="Calibri"/>
      <family val="2"/>
    </font>
    <font>
      <sz val="14"/>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8"/>
      <color indexed="54"/>
      <name val="Calibri Light"/>
      <family val="2"/>
    </font>
    <font>
      <sz val="11"/>
      <color indexed="10"/>
      <name val="Calibri"/>
      <family val="2"/>
    </font>
    <font>
      <i/>
      <sz val="14"/>
      <color indexed="8"/>
      <name val="Calibri"/>
      <family val="2"/>
    </font>
    <font>
      <sz val="12"/>
      <color indexed="9"/>
      <name val="Calibri"/>
      <family val="2"/>
    </font>
    <font>
      <sz val="16"/>
      <color indexed="8"/>
      <name val="Calibri"/>
      <family val="2"/>
    </font>
    <font>
      <sz val="8"/>
      <name val="Segoe UI"/>
      <family val="2"/>
    </font>
    <font>
      <u val="single"/>
      <sz val="11"/>
      <color indexed="25"/>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Calibri"/>
      <family val="2"/>
    </font>
    <font>
      <sz val="11"/>
      <color rgb="FFFFFFFF"/>
      <name val="Calibri"/>
      <family val="2"/>
    </font>
    <font>
      <i/>
      <sz val="14"/>
      <color rgb="FF000000"/>
      <name val="Calibri"/>
      <family val="2"/>
    </font>
    <font>
      <sz val="14"/>
      <color rgb="FF000000"/>
      <name val="Calibri"/>
      <family val="2"/>
    </font>
    <font>
      <sz val="12"/>
      <color theme="0"/>
      <name val="Calibri"/>
      <family val="2"/>
    </font>
    <font>
      <sz val="11"/>
      <color rgb="FF404040"/>
      <name val="Calibri"/>
      <family val="2"/>
    </font>
    <font>
      <b/>
      <sz val="12"/>
      <color rgb="FF000000"/>
      <name val="Calibri"/>
      <family val="2"/>
    </font>
    <font>
      <sz val="16"/>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CFFCC"/>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theme="8" tint="0.7999799847602844"/>
        <bgColor indexed="64"/>
      </patternFill>
    </fill>
    <fill>
      <patternFill patternType="solid">
        <fgColor rgb="FFCC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333300"/>
      </left>
      <right style="thin">
        <color rgb="FF333300"/>
      </right>
      <top style="thin">
        <color rgb="FF333300"/>
      </top>
      <bottom style="thin">
        <color rgb="FF333300"/>
      </bottom>
    </border>
    <border>
      <left/>
      <right/>
      <top/>
      <bottom style="thin">
        <color rgb="FF333300"/>
      </bottom>
    </border>
    <border>
      <left style="thin">
        <color rgb="FF333300"/>
      </left>
      <right style="thin">
        <color rgb="FF333300"/>
      </right>
      <top/>
      <bottom/>
    </border>
    <border>
      <left style="thin">
        <color rgb="FF333300"/>
      </left>
      <right/>
      <top style="thin">
        <color rgb="FF333300"/>
      </top>
      <bottom style="thin">
        <color rgb="FF333300"/>
      </bottom>
    </border>
    <border>
      <left style="thin">
        <color rgb="FF333300"/>
      </left>
      <right/>
      <top/>
      <bottom/>
    </border>
    <border>
      <left/>
      <right/>
      <top style="medium"/>
      <bottom/>
    </border>
    <border>
      <left/>
      <right style="medium"/>
      <top style="medium"/>
      <bottom/>
    </border>
    <border>
      <left/>
      <right style="medium"/>
      <top/>
      <bottom/>
    </border>
    <border>
      <left style="medium"/>
      <right/>
      <top/>
      <bottom/>
    </border>
    <border>
      <left/>
      <right/>
      <top/>
      <bottom style="medium"/>
    </border>
    <border>
      <left style="medium"/>
      <right/>
      <top style="medium"/>
      <bottom/>
    </border>
    <border>
      <left style="thin">
        <color rgb="FF333300"/>
      </left>
      <right/>
      <top style="thin">
        <color rgb="FF333300"/>
      </top>
      <bottom>
        <color indexed="63"/>
      </bottom>
    </border>
    <border>
      <left/>
      <right style="medium"/>
      <top/>
      <bottom style="medium"/>
    </border>
    <border>
      <left style="medium"/>
      <right/>
      <top/>
      <bottom style="medium"/>
    </border>
    <border>
      <left style="medium"/>
      <right/>
      <top style="medium"/>
      <bottom style="medium"/>
    </border>
    <border>
      <left/>
      <right/>
      <top style="medium"/>
      <bottom style="medium"/>
    </border>
    <border>
      <left/>
      <right style="medium"/>
      <top style="medium"/>
      <bottom style="medium"/>
    </border>
    <border>
      <left style="medium">
        <color rgb="FF333300"/>
      </left>
      <right/>
      <top/>
      <bottom/>
    </border>
    <border>
      <left style="medium">
        <color rgb="FF333300"/>
      </left>
      <right style="medium">
        <color rgb="FF333300"/>
      </right>
      <top style="medium">
        <color rgb="FF333300"/>
      </top>
      <bottom style="medium">
        <color rgb="FF000000"/>
      </bottom>
    </border>
    <border>
      <left style="medium">
        <color rgb="FFCCCCCC"/>
      </left>
      <right style="medium">
        <color rgb="FF333300"/>
      </right>
      <top style="medium">
        <color rgb="FF333300"/>
      </top>
      <bottom style="medium">
        <color rgb="FF333300"/>
      </bottom>
    </border>
    <border>
      <left style="medium">
        <color rgb="FF000000"/>
      </left>
      <right style="medium">
        <color rgb="FF000000"/>
      </right>
      <top style="medium">
        <color rgb="FFCCCCCC"/>
      </top>
      <bottom style="medium">
        <color rgb="FF000000"/>
      </bottom>
    </border>
    <border>
      <left style="medium">
        <color rgb="FFCCCCCC"/>
      </left>
      <right style="medium">
        <color rgb="FF333300"/>
      </right>
      <top style="medium">
        <color rgb="FFCCCCCC"/>
      </top>
      <bottom style="medium">
        <color rgb="FF333300"/>
      </bottom>
    </border>
    <border>
      <left style="medium">
        <color rgb="FF000000"/>
      </left>
      <right style="medium">
        <color rgb="FF000000"/>
      </right>
      <top style="medium">
        <color rgb="FFCCCCCC"/>
      </top>
      <bottom style="thick">
        <color rgb="FFCCCCCC"/>
      </bottom>
    </border>
    <border>
      <left style="thick">
        <color rgb="FF333300"/>
      </left>
      <right style="thick">
        <color rgb="FF333300"/>
      </right>
      <top style="medium">
        <color rgb="FFCCCCCC"/>
      </top>
      <bottom style="thick">
        <color rgb="FF3333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5">
    <xf numFmtId="0" fontId="0" fillId="0" borderId="0" xfId="0" applyFont="1" applyAlignment="1">
      <alignment/>
    </xf>
    <xf numFmtId="0" fontId="55" fillId="0" borderId="0" xfId="0" applyFont="1" applyAlignment="1">
      <alignment/>
    </xf>
    <xf numFmtId="0" fontId="0" fillId="0" borderId="0" xfId="0" applyFont="1" applyAlignment="1">
      <alignment/>
    </xf>
    <xf numFmtId="0" fontId="0" fillId="33" borderId="0" xfId="0" applyFont="1" applyFill="1" applyBorder="1" applyAlignment="1">
      <alignment/>
    </xf>
    <xf numFmtId="0" fontId="55" fillId="33" borderId="0" xfId="0" applyFont="1" applyFill="1" applyBorder="1" applyAlignment="1">
      <alignment horizontal="left" vertical="top" wrapText="1"/>
    </xf>
    <xf numFmtId="0" fontId="55" fillId="33" borderId="0" xfId="0" applyFont="1" applyFill="1" applyBorder="1" applyAlignment="1">
      <alignment/>
    </xf>
    <xf numFmtId="0" fontId="55" fillId="0" borderId="10" xfId="0" applyFont="1" applyBorder="1" applyAlignment="1">
      <alignment/>
    </xf>
    <xf numFmtId="0" fontId="0" fillId="34" borderId="10" xfId="0" applyFont="1" applyFill="1" applyBorder="1" applyAlignment="1">
      <alignment/>
    </xf>
    <xf numFmtId="14" fontId="0" fillId="34" borderId="10" xfId="0" applyNumberFormat="1" applyFont="1" applyFill="1" applyBorder="1" applyAlignment="1">
      <alignment/>
    </xf>
    <xf numFmtId="172" fontId="0" fillId="0" borderId="10" xfId="0" applyNumberFormat="1" applyFont="1" applyBorder="1" applyAlignment="1">
      <alignment/>
    </xf>
    <xf numFmtId="9" fontId="0" fillId="0" borderId="10" xfId="0" applyNumberFormat="1" applyFont="1" applyBorder="1" applyAlignment="1">
      <alignment/>
    </xf>
    <xf numFmtId="0" fontId="55" fillId="0" borderId="10" xfId="0" applyFont="1" applyBorder="1" applyAlignment="1">
      <alignment wrapText="1"/>
    </xf>
    <xf numFmtId="0" fontId="0" fillId="0" borderId="10" xfId="0" applyFont="1" applyBorder="1" applyAlignment="1">
      <alignment wrapText="1"/>
    </xf>
    <xf numFmtId="0" fontId="0" fillId="0" borderId="10" xfId="0" applyFont="1" applyBorder="1" applyAlignment="1">
      <alignment vertical="top" wrapText="1"/>
    </xf>
    <xf numFmtId="0" fontId="0" fillId="0" borderId="11" xfId="0" applyFont="1" applyBorder="1" applyAlignment="1">
      <alignment wrapText="1"/>
    </xf>
    <xf numFmtId="0" fontId="0" fillId="0" borderId="0" xfId="0" applyFont="1" applyAlignment="1">
      <alignment vertical="center" wrapText="1"/>
    </xf>
    <xf numFmtId="0" fontId="55" fillId="0" borderId="12" xfId="0" applyFont="1" applyBorder="1" applyAlignment="1">
      <alignment vertical="center" wrapText="1"/>
    </xf>
    <xf numFmtId="0" fontId="0" fillId="0" borderId="0" xfId="0" applyFont="1" applyAlignment="1">
      <alignment vertical="center"/>
    </xf>
    <xf numFmtId="0" fontId="55" fillId="0" borderId="12" xfId="0" applyFont="1" applyBorder="1" applyAlignment="1">
      <alignment vertical="center"/>
    </xf>
    <xf numFmtId="0" fontId="0" fillId="33" borderId="0" xfId="0" applyFont="1" applyFill="1" applyBorder="1" applyAlignment="1">
      <alignment/>
    </xf>
    <xf numFmtId="9" fontId="56" fillId="33" borderId="0" xfId="0" applyNumberFormat="1" applyFont="1" applyFill="1" applyBorder="1" applyAlignment="1">
      <alignment/>
    </xf>
    <xf numFmtId="0" fontId="0" fillId="0" borderId="13" xfId="0" applyFont="1" applyBorder="1" applyAlignment="1">
      <alignment wrapText="1"/>
    </xf>
    <xf numFmtId="0" fontId="0" fillId="0" borderId="10" xfId="0" applyFont="1" applyBorder="1" applyAlignment="1">
      <alignment wrapText="1"/>
    </xf>
    <xf numFmtId="0" fontId="0" fillId="35" borderId="0" xfId="0" applyFont="1" applyFill="1" applyAlignment="1">
      <alignment/>
    </xf>
    <xf numFmtId="0" fontId="0" fillId="35" borderId="0" xfId="0" applyFont="1" applyFill="1" applyBorder="1" applyAlignment="1">
      <alignment horizontal="left" vertical="center" wrapText="1"/>
    </xf>
    <xf numFmtId="0" fontId="0" fillId="35" borderId="0" xfId="0" applyFont="1" applyFill="1" applyBorder="1" applyAlignment="1">
      <alignment vertical="center" wrapText="1"/>
    </xf>
    <xf numFmtId="0" fontId="11" fillId="35" borderId="0" xfId="0" applyFont="1" applyFill="1" applyBorder="1" applyAlignment="1">
      <alignment/>
    </xf>
    <xf numFmtId="0" fontId="57" fillId="33" borderId="0" xfId="0" applyFont="1" applyFill="1" applyBorder="1" applyAlignment="1">
      <alignment horizontal="center" vertical="top"/>
    </xf>
    <xf numFmtId="0" fontId="58" fillId="0" borderId="0" xfId="0" applyFont="1" applyAlignment="1">
      <alignment/>
    </xf>
    <xf numFmtId="0" fontId="58" fillId="33" borderId="0" xfId="0" applyFont="1" applyFill="1" applyBorder="1" applyAlignment="1">
      <alignment/>
    </xf>
    <xf numFmtId="0" fontId="12" fillId="35" borderId="0" xfId="0" applyFont="1" applyFill="1" applyBorder="1" applyAlignment="1">
      <alignment/>
    </xf>
    <xf numFmtId="0" fontId="58" fillId="35" borderId="0" xfId="0" applyFont="1" applyFill="1" applyAlignment="1">
      <alignment/>
    </xf>
    <xf numFmtId="0" fontId="0" fillId="36" borderId="0" xfId="0" applyFont="1" applyFill="1" applyBorder="1" applyAlignment="1">
      <alignment/>
    </xf>
    <xf numFmtId="0" fontId="0" fillId="33" borderId="0" xfId="0" applyFont="1" applyFill="1" applyBorder="1" applyAlignment="1">
      <alignment vertical="center"/>
    </xf>
    <xf numFmtId="9" fontId="37" fillId="33" borderId="14" xfId="0" applyNumberFormat="1" applyFont="1" applyFill="1" applyBorder="1" applyAlignment="1">
      <alignment vertical="center"/>
    </xf>
    <xf numFmtId="0" fontId="59" fillId="33" borderId="0" xfId="0" applyFont="1" applyFill="1" applyBorder="1" applyAlignment="1">
      <alignment horizontal="left" vertical="top"/>
    </xf>
    <xf numFmtId="0" fontId="0" fillId="35" borderId="15" xfId="0" applyFont="1" applyFill="1" applyBorder="1" applyAlignment="1">
      <alignment/>
    </xf>
    <xf numFmtId="0" fontId="12" fillId="35" borderId="15" xfId="0" applyFont="1" applyFill="1" applyBorder="1" applyAlignment="1">
      <alignment/>
    </xf>
    <xf numFmtId="0" fontId="0" fillId="0" borderId="16" xfId="0" applyFont="1" applyBorder="1" applyAlignment="1">
      <alignment/>
    </xf>
    <xf numFmtId="0" fontId="0" fillId="35" borderId="0" xfId="0" applyFont="1" applyFill="1" applyBorder="1" applyAlignment="1">
      <alignment/>
    </xf>
    <xf numFmtId="0" fontId="11" fillId="35" borderId="17" xfId="0" applyFont="1" applyFill="1" applyBorder="1" applyAlignment="1">
      <alignment/>
    </xf>
    <xf numFmtId="0" fontId="0" fillId="35" borderId="18" xfId="0" applyFont="1" applyFill="1" applyBorder="1" applyAlignment="1">
      <alignment/>
    </xf>
    <xf numFmtId="0" fontId="0" fillId="35" borderId="17" xfId="0" applyFont="1" applyFill="1" applyBorder="1" applyAlignment="1">
      <alignment/>
    </xf>
    <xf numFmtId="0" fontId="0" fillId="35" borderId="17" xfId="0" applyFont="1" applyFill="1" applyBorder="1" applyAlignment="1">
      <alignment horizontal="left" vertical="center" wrapText="1"/>
    </xf>
    <xf numFmtId="0" fontId="0" fillId="35" borderId="17" xfId="0" applyFont="1" applyFill="1" applyBorder="1" applyAlignment="1">
      <alignment vertical="center" wrapText="1"/>
    </xf>
    <xf numFmtId="0" fontId="0" fillId="35" borderId="19" xfId="0" applyFont="1" applyFill="1" applyBorder="1" applyAlignment="1">
      <alignment/>
    </xf>
    <xf numFmtId="0" fontId="0" fillId="35" borderId="20" xfId="0" applyFont="1" applyFill="1" applyBorder="1" applyAlignment="1">
      <alignment/>
    </xf>
    <xf numFmtId="0" fontId="0" fillId="35" borderId="0" xfId="0" applyFont="1" applyFill="1" applyBorder="1" applyAlignment="1">
      <alignment vertical="top" wrapText="1"/>
    </xf>
    <xf numFmtId="0" fontId="0" fillId="35" borderId="18" xfId="0" applyFont="1" applyFill="1" applyBorder="1" applyAlignment="1">
      <alignment vertical="top" wrapText="1"/>
    </xf>
    <xf numFmtId="0" fontId="58" fillId="36" borderId="0" xfId="0" applyFont="1" applyFill="1" applyBorder="1" applyAlignment="1">
      <alignment/>
    </xf>
    <xf numFmtId="0" fontId="0" fillId="36" borderId="0" xfId="0" applyFont="1" applyFill="1" applyBorder="1" applyAlignment="1">
      <alignment/>
    </xf>
    <xf numFmtId="0" fontId="0" fillId="34" borderId="10" xfId="0" applyFont="1" applyFill="1" applyBorder="1" applyAlignment="1">
      <alignment vertical="center"/>
    </xf>
    <xf numFmtId="173" fontId="0" fillId="0" borderId="10" xfId="0" applyNumberFormat="1" applyFont="1" applyBorder="1" applyAlignment="1">
      <alignment vertical="center"/>
    </xf>
    <xf numFmtId="2" fontId="0" fillId="37" borderId="0" xfId="0" applyNumberFormat="1" applyFont="1" applyFill="1" applyBorder="1" applyAlignment="1">
      <alignment vertical="center"/>
    </xf>
    <xf numFmtId="0" fontId="0" fillId="37" borderId="0" xfId="0" applyFont="1" applyFill="1" applyBorder="1" applyAlignment="1">
      <alignment vertical="center"/>
    </xf>
    <xf numFmtId="0" fontId="0" fillId="37" borderId="0" xfId="0" applyFont="1" applyFill="1" applyBorder="1" applyAlignment="1">
      <alignment vertical="center"/>
    </xf>
    <xf numFmtId="0" fontId="3" fillId="0" borderId="0" xfId="0" applyFont="1" applyAlignment="1">
      <alignment vertical="center"/>
    </xf>
    <xf numFmtId="173" fontId="0" fillId="0" borderId="0" xfId="0" applyNumberFormat="1" applyFont="1" applyAlignment="1">
      <alignment vertical="center"/>
    </xf>
    <xf numFmtId="0" fontId="0" fillId="33" borderId="0" xfId="0" applyFont="1" applyFill="1" applyBorder="1" applyAlignment="1">
      <alignment vertical="center"/>
    </xf>
    <xf numFmtId="0" fontId="0" fillId="36" borderId="0" xfId="0" applyFont="1" applyFill="1" applyBorder="1" applyAlignment="1">
      <alignment vertical="center"/>
    </xf>
    <xf numFmtId="0" fontId="5" fillId="0" borderId="12" xfId="0" applyFont="1" applyBorder="1" applyAlignment="1">
      <alignment vertical="center"/>
    </xf>
    <xf numFmtId="0" fontId="6" fillId="0" borderId="0" xfId="0" applyFont="1" applyAlignment="1">
      <alignment vertical="center"/>
    </xf>
    <xf numFmtId="0" fontId="57" fillId="36" borderId="0" xfId="0" applyFont="1" applyFill="1" applyBorder="1" applyAlignment="1">
      <alignment horizontal="center" vertical="top"/>
    </xf>
    <xf numFmtId="0" fontId="0" fillId="35" borderId="0" xfId="0" applyFont="1" applyFill="1" applyBorder="1" applyAlignment="1">
      <alignment vertical="top"/>
    </xf>
    <xf numFmtId="0" fontId="0" fillId="0" borderId="0" xfId="0" applyFont="1" applyAlignment="1">
      <alignment/>
    </xf>
    <xf numFmtId="0" fontId="0" fillId="0" borderId="0" xfId="0" applyFont="1" applyFill="1" applyBorder="1" applyAlignment="1">
      <alignment wrapText="1"/>
    </xf>
    <xf numFmtId="0" fontId="3" fillId="0" borderId="0" xfId="0" applyFont="1" applyAlignment="1">
      <alignment vertical="center"/>
    </xf>
    <xf numFmtId="0" fontId="47" fillId="33" borderId="0" xfId="53" applyFill="1" applyBorder="1" applyAlignment="1">
      <alignment vertical="center"/>
    </xf>
    <xf numFmtId="173" fontId="0" fillId="0" borderId="10" xfId="0" applyNumberFormat="1" applyFont="1" applyFill="1" applyBorder="1" applyAlignment="1">
      <alignment vertical="center"/>
    </xf>
    <xf numFmtId="2" fontId="0" fillId="0" borderId="0" xfId="0" applyNumberFormat="1" applyFont="1" applyFill="1" applyBorder="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0" fillId="0" borderId="0" xfId="0" applyFont="1" applyFill="1" applyAlignment="1">
      <alignment vertical="center"/>
    </xf>
    <xf numFmtId="173" fontId="0" fillId="0" borderId="0" xfId="0" applyNumberFormat="1" applyFont="1" applyFill="1" applyAlignment="1">
      <alignment vertical="center"/>
    </xf>
    <xf numFmtId="0" fontId="0" fillId="0" borderId="0" xfId="0" applyFont="1" applyAlignment="1">
      <alignment vertical="center"/>
    </xf>
    <xf numFmtId="0" fontId="55" fillId="0" borderId="14" xfId="0" applyFont="1" applyBorder="1" applyAlignment="1">
      <alignment vertical="center" wrapText="1"/>
    </xf>
    <xf numFmtId="0" fontId="55" fillId="0" borderId="14" xfId="0" applyFont="1" applyBorder="1" applyAlignment="1">
      <alignment vertical="center"/>
    </xf>
    <xf numFmtId="0" fontId="5" fillId="0" borderId="14" xfId="0" applyFont="1" applyBorder="1" applyAlignment="1">
      <alignment vertical="center"/>
    </xf>
    <xf numFmtId="0" fontId="5" fillId="0" borderId="14" xfId="0" applyFont="1" applyFill="1" applyBorder="1" applyAlignment="1">
      <alignment vertical="center"/>
    </xf>
    <xf numFmtId="0" fontId="0" fillId="0" borderId="21" xfId="0" applyFont="1" applyBorder="1" applyAlignment="1">
      <alignment wrapText="1"/>
    </xf>
    <xf numFmtId="0" fontId="0" fillId="0" borderId="0" xfId="0" applyFont="1" applyAlignment="1">
      <alignment/>
    </xf>
    <xf numFmtId="0" fontId="0" fillId="36" borderId="0" xfId="0" applyFont="1" applyFill="1" applyBorder="1" applyAlignment="1">
      <alignment horizontal="left" vertical="center" wrapText="1"/>
    </xf>
    <xf numFmtId="0" fontId="0" fillId="36" borderId="17" xfId="0" applyFont="1" applyFill="1" applyBorder="1" applyAlignment="1">
      <alignment horizontal="left" vertical="center" wrapText="1"/>
    </xf>
    <xf numFmtId="0" fontId="0" fillId="36" borderId="19" xfId="0" applyFont="1" applyFill="1" applyBorder="1" applyAlignment="1">
      <alignment horizontal="left" vertical="center" wrapText="1"/>
    </xf>
    <xf numFmtId="0" fontId="0" fillId="36" borderId="22"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0" fillId="35" borderId="18" xfId="0" applyFont="1" applyFill="1" applyBorder="1" applyAlignment="1">
      <alignment horizontal="left" vertical="top" wrapText="1"/>
    </xf>
    <xf numFmtId="0" fontId="0" fillId="35" borderId="0" xfId="0" applyFont="1" applyFill="1" applyBorder="1" applyAlignment="1">
      <alignment horizontal="left" vertical="top" wrapText="1"/>
    </xf>
    <xf numFmtId="0" fontId="55" fillId="35" borderId="18" xfId="0" applyFont="1" applyFill="1" applyBorder="1" applyAlignment="1">
      <alignment horizontal="center" vertical="center" wrapText="1"/>
    </xf>
    <xf numFmtId="0" fontId="55" fillId="35" borderId="0" xfId="0" applyFont="1" applyFill="1" applyBorder="1" applyAlignment="1">
      <alignment horizontal="center" vertical="center" wrapText="1"/>
    </xf>
    <xf numFmtId="0" fontId="55" fillId="35" borderId="23" xfId="0" applyFont="1" applyFill="1" applyBorder="1" applyAlignment="1">
      <alignment horizontal="center" vertical="center" wrapText="1"/>
    </xf>
    <xf numFmtId="0" fontId="55" fillId="35" borderId="19" xfId="0" applyFont="1" applyFill="1" applyBorder="1" applyAlignment="1">
      <alignment horizontal="center" vertical="center" wrapText="1"/>
    </xf>
    <xf numFmtId="0" fontId="3" fillId="35" borderId="0" xfId="0" applyFont="1" applyFill="1" applyBorder="1" applyAlignment="1">
      <alignment horizontal="center"/>
    </xf>
    <xf numFmtId="0" fontId="60" fillId="35" borderId="0" xfId="0" applyFont="1" applyFill="1" applyBorder="1" applyAlignment="1">
      <alignment horizontal="left" wrapText="1"/>
    </xf>
    <xf numFmtId="0" fontId="60" fillId="35" borderId="17" xfId="0" applyFont="1" applyFill="1" applyBorder="1" applyAlignment="1">
      <alignment horizontal="left" wrapText="1"/>
    </xf>
    <xf numFmtId="0" fontId="60" fillId="0" borderId="0" xfId="0" applyFont="1" applyAlignment="1">
      <alignment horizontal="left" wrapText="1"/>
    </xf>
    <xf numFmtId="0" fontId="0" fillId="33" borderId="14" xfId="0" applyFont="1" applyFill="1" applyBorder="1" applyAlignment="1">
      <alignment horizontal="center"/>
    </xf>
    <xf numFmtId="0" fontId="0" fillId="33" borderId="0" xfId="0" applyFont="1" applyFill="1" applyBorder="1" applyAlignment="1">
      <alignment horizontal="center"/>
    </xf>
    <xf numFmtId="0" fontId="0" fillId="7" borderId="24" xfId="0" applyFont="1" applyFill="1" applyBorder="1" applyAlignment="1">
      <alignment horizontal="left" vertical="top"/>
    </xf>
    <xf numFmtId="0" fontId="0" fillId="7" borderId="25" xfId="0" applyFont="1" applyFill="1" applyBorder="1" applyAlignment="1">
      <alignment horizontal="left" vertical="top"/>
    </xf>
    <xf numFmtId="0" fontId="0" fillId="7" borderId="26" xfId="0" applyFont="1" applyFill="1" applyBorder="1" applyAlignment="1">
      <alignment horizontal="left" vertical="top"/>
    </xf>
    <xf numFmtId="0" fontId="57" fillId="36" borderId="27" xfId="0" applyFont="1" applyFill="1" applyBorder="1" applyAlignment="1">
      <alignment horizontal="left" vertical="top"/>
    </xf>
    <xf numFmtId="0" fontId="11" fillId="35" borderId="0" xfId="0" applyFont="1" applyFill="1" applyBorder="1" applyAlignment="1">
      <alignment horizontal="left"/>
    </xf>
    <xf numFmtId="0" fontId="55" fillId="33" borderId="0" xfId="0" applyFont="1" applyFill="1" applyBorder="1" applyAlignment="1">
      <alignment horizontal="left" vertical="top" wrapText="1"/>
    </xf>
    <xf numFmtId="0" fontId="3" fillId="0" borderId="0" xfId="0" applyFont="1" applyBorder="1" applyAlignment="1">
      <alignment/>
    </xf>
    <xf numFmtId="0" fontId="0" fillId="0" borderId="0" xfId="0" applyFont="1" applyAlignment="1">
      <alignment/>
    </xf>
    <xf numFmtId="0" fontId="61" fillId="0" borderId="11" xfId="0" applyFont="1" applyBorder="1" applyAlignment="1">
      <alignment horizontal="center"/>
    </xf>
    <xf numFmtId="0" fontId="3" fillId="0" borderId="11" xfId="0" applyFont="1" applyBorder="1" applyAlignment="1">
      <alignment/>
    </xf>
    <xf numFmtId="0" fontId="62" fillId="33" borderId="0" xfId="0" applyFont="1" applyFill="1" applyBorder="1" applyAlignment="1">
      <alignment horizontal="center" vertical="center"/>
    </xf>
    <xf numFmtId="0" fontId="62" fillId="33" borderId="11" xfId="0" applyFont="1" applyFill="1" applyBorder="1" applyAlignment="1">
      <alignment horizontal="center" vertical="center"/>
    </xf>
    <xf numFmtId="0" fontId="0" fillId="33" borderId="0" xfId="0" applyFont="1" applyFill="1" applyBorder="1" applyAlignment="1">
      <alignment horizontal="left" wrapText="1"/>
    </xf>
    <xf numFmtId="0" fontId="0" fillId="35" borderId="0" xfId="0" applyFont="1" applyFill="1" applyAlignment="1">
      <alignment horizontal="left" vertical="center" wrapText="1"/>
    </xf>
    <xf numFmtId="0" fontId="0" fillId="6" borderId="0" xfId="0" applyFont="1" applyFill="1" applyAlignment="1">
      <alignment vertical="center"/>
    </xf>
    <xf numFmtId="0" fontId="3" fillId="6" borderId="0" xfId="0" applyFont="1" applyFill="1" applyAlignment="1">
      <alignment vertical="center"/>
    </xf>
    <xf numFmtId="0" fontId="0" fillId="0" borderId="0" xfId="0" applyAlignment="1">
      <alignment/>
    </xf>
    <xf numFmtId="0" fontId="0" fillId="38" borderId="0" xfId="0" applyFont="1" applyFill="1" applyBorder="1" applyAlignment="1">
      <alignment vertical="center"/>
    </xf>
    <xf numFmtId="0" fontId="0" fillId="39" borderId="28" xfId="0" applyFont="1" applyFill="1" applyBorder="1" applyAlignment="1">
      <alignment wrapText="1"/>
    </xf>
    <xf numFmtId="0" fontId="0" fillId="39" borderId="29" xfId="0" applyFont="1" applyFill="1" applyBorder="1" applyAlignment="1">
      <alignment vertical="center" wrapText="1"/>
    </xf>
    <xf numFmtId="0" fontId="0" fillId="39" borderId="30" xfId="0" applyFont="1" applyFill="1" applyBorder="1" applyAlignment="1">
      <alignment wrapText="1"/>
    </xf>
    <xf numFmtId="0" fontId="0" fillId="39" borderId="31" xfId="0" applyFont="1" applyFill="1" applyBorder="1" applyAlignment="1">
      <alignment vertical="center" wrapText="1"/>
    </xf>
    <xf numFmtId="0" fontId="0" fillId="39" borderId="30" xfId="0" applyFont="1" applyFill="1" applyBorder="1" applyAlignment="1">
      <alignment horizontal="right" wrapText="1"/>
    </xf>
    <xf numFmtId="0" fontId="0" fillId="39" borderId="32" xfId="0" applyFont="1" applyFill="1" applyBorder="1" applyAlignment="1">
      <alignment horizontal="right" wrapText="1"/>
    </xf>
    <xf numFmtId="0" fontId="0" fillId="39" borderId="33" xfId="0" applyFont="1" applyFill="1" applyBorder="1" applyAlignment="1">
      <alignment vertical="center" wrapText="1"/>
    </xf>
    <xf numFmtId="0" fontId="0" fillId="39" borderId="33"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How much of the harvest is directly from bees?</a:t>
            </a:r>
          </a:p>
        </c:rich>
      </c:tx>
      <c:layout>
        <c:manualLayout>
          <c:xMode val="factor"/>
          <c:yMode val="factor"/>
          <c:x val="0.0125"/>
          <c:y val="-0.034"/>
        </c:manualLayout>
      </c:layout>
      <c:spPr>
        <a:noFill/>
        <a:ln w="3175">
          <a:noFill/>
        </a:ln>
      </c:spPr>
    </c:title>
    <c:plotArea>
      <c:layout>
        <c:manualLayout>
          <c:xMode val="edge"/>
          <c:yMode val="edge"/>
          <c:x val="0.158"/>
          <c:y val="0.17325"/>
          <c:w val="0.67675"/>
          <c:h val="0.715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C000"/>
              </a:solidFill>
              <a:ln w="3175">
                <a:noFill/>
              </a:ln>
            </c:spPr>
          </c:dPt>
          <c:dPt>
            <c:idx val="1"/>
            <c:spPr>
              <a:solidFill>
                <a:srgbClr val="70AD47"/>
              </a:solidFill>
              <a:ln w="3175">
                <a:noFill/>
              </a:ln>
            </c:spPr>
          </c:dPt>
          <c:cat>
            <c:strRef>
              <c:f>'Standard values'!$A$21:$A$22</c:f>
              <c:strCache/>
            </c:strRef>
          </c:cat>
          <c:val>
            <c:numRef>
              <c:f>'Standard values'!$B$20:$C$20</c:f>
              <c:numCache/>
            </c:numRef>
          </c:val>
        </c:ser>
      </c:pieChart>
      <c:spPr>
        <a:solidFill>
          <a:srgbClr val="FFFFFF"/>
        </a:solidFill>
        <a:ln w="3175">
          <a:noFill/>
        </a:ln>
      </c:spPr>
    </c:plotArea>
    <c:legend>
      <c:legendPos val="r"/>
      <c:layout>
        <c:manualLayout>
          <c:xMode val="edge"/>
          <c:yMode val="edge"/>
          <c:x val="0.75925"/>
          <c:y val="0.6535"/>
          <c:w val="0.23825"/>
          <c:h val="0.31225"/>
        </c:manualLayout>
      </c:layout>
      <c:overlay val="0"/>
      <c:spPr>
        <a:noFill/>
        <a:ln w="3175">
          <a:noFill/>
        </a:ln>
      </c:spPr>
      <c:txPr>
        <a:bodyPr vert="horz" rot="0"/>
        <a:lstStyle/>
        <a:p>
          <a:pPr>
            <a:defRPr lang="en-US" cap="none" sz="14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How much of the harvest is directly from bees?</a:t>
            </a:r>
          </a:p>
        </c:rich>
      </c:tx>
      <c:layout>
        <c:manualLayout>
          <c:xMode val="factor"/>
          <c:yMode val="factor"/>
          <c:x val="0.01"/>
          <c:y val="-0.034"/>
        </c:manualLayout>
      </c:layout>
      <c:spPr>
        <a:noFill/>
        <a:ln w="3175">
          <a:noFill/>
        </a:ln>
      </c:spPr>
    </c:title>
    <c:plotArea>
      <c:layout>
        <c:manualLayout>
          <c:xMode val="edge"/>
          <c:yMode val="edge"/>
          <c:x val="0.15825"/>
          <c:y val="0.17325"/>
          <c:w val="0.6755"/>
          <c:h val="0.7147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C000"/>
              </a:solidFill>
              <a:ln w="3175">
                <a:noFill/>
              </a:ln>
            </c:spPr>
          </c:dPt>
          <c:dPt>
            <c:idx val="1"/>
            <c:spPr>
              <a:solidFill>
                <a:srgbClr val="70AD47"/>
              </a:solidFill>
              <a:ln w="3175">
                <a:noFill/>
              </a:ln>
            </c:spPr>
          </c:dPt>
          <c:cat>
            <c:strRef>
              <c:f>'Organic values'!$A$21:$A$22</c:f>
              <c:strCache/>
            </c:strRef>
          </c:cat>
          <c:val>
            <c:numRef>
              <c:f>'Organic values'!$B$20:$C$20</c:f>
              <c:numCache/>
            </c:numRef>
          </c:val>
        </c:ser>
      </c:pieChart>
      <c:spPr>
        <a:solidFill>
          <a:srgbClr val="FFFFFF"/>
        </a:solidFill>
        <a:ln w="3175">
          <a:noFill/>
        </a:ln>
      </c:spPr>
    </c:plotArea>
    <c:legend>
      <c:legendPos val="r"/>
      <c:layout>
        <c:manualLayout>
          <c:xMode val="edge"/>
          <c:yMode val="edge"/>
          <c:x val="0.76"/>
          <c:y val="0.64125"/>
          <c:w val="0.2375"/>
          <c:h val="0.32725"/>
        </c:manualLayout>
      </c:layout>
      <c:overlay val="0"/>
      <c:spPr>
        <a:noFill/>
        <a:ln w="3175">
          <a:noFill/>
        </a:ln>
      </c:spPr>
      <c:txPr>
        <a:bodyPr vert="horz" rot="0"/>
        <a:lstStyle/>
        <a:p>
          <a:pPr>
            <a:defRPr lang="en-US" cap="none" sz="14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6.png" /><Relationship Id="rId6"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6.png" /><Relationship Id="rId6"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2</xdr:row>
      <xdr:rowOff>47625</xdr:rowOff>
    </xdr:from>
    <xdr:to>
      <xdr:col>3</xdr:col>
      <xdr:colOff>885825</xdr:colOff>
      <xdr:row>4</xdr:row>
      <xdr:rowOff>171450</xdr:rowOff>
    </xdr:to>
    <xdr:pic>
      <xdr:nvPicPr>
        <xdr:cNvPr id="1" name="Picture 13"/>
        <xdr:cNvPicPr preferRelativeResize="1">
          <a:picLocks noChangeAspect="1"/>
        </xdr:cNvPicPr>
      </xdr:nvPicPr>
      <xdr:blipFill>
        <a:blip r:embed="rId1"/>
        <a:stretch>
          <a:fillRect/>
        </a:stretch>
      </xdr:blipFill>
      <xdr:spPr>
        <a:xfrm>
          <a:off x="3971925" y="523875"/>
          <a:ext cx="371475" cy="476250"/>
        </a:xfrm>
        <a:prstGeom prst="rect">
          <a:avLst/>
        </a:prstGeom>
        <a:noFill/>
        <a:ln w="9525" cmpd="sng">
          <a:noFill/>
        </a:ln>
      </xdr:spPr>
    </xdr:pic>
    <xdr:clientData/>
  </xdr:twoCellAnchor>
  <xdr:twoCellAnchor>
    <xdr:from>
      <xdr:col>3</xdr:col>
      <xdr:colOff>447675</xdr:colOff>
      <xdr:row>6</xdr:row>
      <xdr:rowOff>95250</xdr:rowOff>
    </xdr:from>
    <xdr:to>
      <xdr:col>3</xdr:col>
      <xdr:colOff>990600</xdr:colOff>
      <xdr:row>9</xdr:row>
      <xdr:rowOff>0</xdr:rowOff>
    </xdr:to>
    <xdr:pic>
      <xdr:nvPicPr>
        <xdr:cNvPr id="2" name="Picture 14"/>
        <xdr:cNvPicPr preferRelativeResize="1">
          <a:picLocks noChangeAspect="1"/>
        </xdr:cNvPicPr>
      </xdr:nvPicPr>
      <xdr:blipFill>
        <a:blip r:embed="rId2"/>
        <a:stretch>
          <a:fillRect/>
        </a:stretch>
      </xdr:blipFill>
      <xdr:spPr>
        <a:xfrm>
          <a:off x="3905250" y="1304925"/>
          <a:ext cx="542925" cy="533400"/>
        </a:xfrm>
        <a:prstGeom prst="rect">
          <a:avLst/>
        </a:prstGeom>
        <a:noFill/>
        <a:ln w="9525" cmpd="sng">
          <a:noFill/>
        </a:ln>
      </xdr:spPr>
    </xdr:pic>
    <xdr:clientData/>
  </xdr:twoCellAnchor>
  <xdr:twoCellAnchor>
    <xdr:from>
      <xdr:col>3</xdr:col>
      <xdr:colOff>552450</xdr:colOff>
      <xdr:row>10</xdr:row>
      <xdr:rowOff>19050</xdr:rowOff>
    </xdr:from>
    <xdr:to>
      <xdr:col>3</xdr:col>
      <xdr:colOff>1000125</xdr:colOff>
      <xdr:row>12</xdr:row>
      <xdr:rowOff>133350</xdr:rowOff>
    </xdr:to>
    <xdr:pic>
      <xdr:nvPicPr>
        <xdr:cNvPr id="3" name="Picture 18"/>
        <xdr:cNvPicPr preferRelativeResize="1">
          <a:picLocks noChangeAspect="1"/>
        </xdr:cNvPicPr>
      </xdr:nvPicPr>
      <xdr:blipFill>
        <a:blip r:embed="rId3"/>
        <a:stretch>
          <a:fillRect/>
        </a:stretch>
      </xdr:blipFill>
      <xdr:spPr>
        <a:xfrm>
          <a:off x="4010025" y="2047875"/>
          <a:ext cx="447675" cy="590550"/>
        </a:xfrm>
        <a:prstGeom prst="rect">
          <a:avLst/>
        </a:prstGeom>
        <a:noFill/>
        <a:ln w="9525" cmpd="sng">
          <a:noFill/>
        </a:ln>
      </xdr:spPr>
    </xdr:pic>
    <xdr:clientData/>
  </xdr:twoCellAnchor>
  <xdr:twoCellAnchor>
    <xdr:from>
      <xdr:col>3</xdr:col>
      <xdr:colOff>381000</xdr:colOff>
      <xdr:row>13</xdr:row>
      <xdr:rowOff>47625</xdr:rowOff>
    </xdr:from>
    <xdr:to>
      <xdr:col>3</xdr:col>
      <xdr:colOff>1009650</xdr:colOff>
      <xdr:row>16</xdr:row>
      <xdr:rowOff>38100</xdr:rowOff>
    </xdr:to>
    <xdr:pic>
      <xdr:nvPicPr>
        <xdr:cNvPr id="4" name="Picture 20"/>
        <xdr:cNvPicPr preferRelativeResize="1">
          <a:picLocks noChangeAspect="1"/>
        </xdr:cNvPicPr>
      </xdr:nvPicPr>
      <xdr:blipFill>
        <a:blip r:embed="rId4"/>
        <a:srcRect l="11665" t="17399" r="33332" b="16116"/>
        <a:stretch>
          <a:fillRect/>
        </a:stretch>
      </xdr:blipFill>
      <xdr:spPr>
        <a:xfrm>
          <a:off x="3838575" y="2733675"/>
          <a:ext cx="628650" cy="561975"/>
        </a:xfrm>
        <a:prstGeom prst="rect">
          <a:avLst/>
        </a:prstGeom>
        <a:noFill/>
        <a:ln w="9525" cmpd="sng">
          <a:noFill/>
        </a:ln>
      </xdr:spPr>
    </xdr:pic>
    <xdr:clientData/>
  </xdr:twoCellAnchor>
  <xdr:twoCellAnchor>
    <xdr:from>
      <xdr:col>3</xdr:col>
      <xdr:colOff>314325</xdr:colOff>
      <xdr:row>17</xdr:row>
      <xdr:rowOff>76200</xdr:rowOff>
    </xdr:from>
    <xdr:to>
      <xdr:col>3</xdr:col>
      <xdr:colOff>942975</xdr:colOff>
      <xdr:row>20</xdr:row>
      <xdr:rowOff>142875</xdr:rowOff>
    </xdr:to>
    <xdr:pic>
      <xdr:nvPicPr>
        <xdr:cNvPr id="5" name="Picture 16"/>
        <xdr:cNvPicPr preferRelativeResize="1">
          <a:picLocks noChangeAspect="1"/>
        </xdr:cNvPicPr>
      </xdr:nvPicPr>
      <xdr:blipFill>
        <a:blip r:embed="rId5"/>
        <a:stretch>
          <a:fillRect/>
        </a:stretch>
      </xdr:blipFill>
      <xdr:spPr>
        <a:xfrm>
          <a:off x="3771900" y="3524250"/>
          <a:ext cx="6286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276225</xdr:colOff>
      <xdr:row>2</xdr:row>
      <xdr:rowOff>161925</xdr:rowOff>
    </xdr:from>
    <xdr:ext cx="3914775" cy="3705225"/>
    <xdr:graphicFrame>
      <xdr:nvGraphicFramePr>
        <xdr:cNvPr id="1" name="Chart 2" descr="Chart 0"/>
        <xdr:cNvGraphicFramePr/>
      </xdr:nvGraphicFramePr>
      <xdr:xfrm>
        <a:off x="5543550" y="542925"/>
        <a:ext cx="3914775" cy="3705225"/>
      </xdr:xfrm>
      <a:graphic>
        <a:graphicData uri="http://schemas.openxmlformats.org/drawingml/2006/chart">
          <c:chart xmlns:c="http://schemas.openxmlformats.org/drawingml/2006/chart" r:id="rId1"/>
        </a:graphicData>
      </a:graphic>
    </xdr:graphicFrame>
    <xdr:clientData fLocksWithSheet="0"/>
  </xdr:oneCellAnchor>
  <xdr:twoCellAnchor>
    <xdr:from>
      <xdr:col>1</xdr:col>
      <xdr:colOff>819150</xdr:colOff>
      <xdr:row>22</xdr:row>
      <xdr:rowOff>76200</xdr:rowOff>
    </xdr:from>
    <xdr:to>
      <xdr:col>1</xdr:col>
      <xdr:colOff>1066800</xdr:colOff>
      <xdr:row>22</xdr:row>
      <xdr:rowOff>409575</xdr:rowOff>
    </xdr:to>
    <xdr:pic>
      <xdr:nvPicPr>
        <xdr:cNvPr id="2" name="Picture 13"/>
        <xdr:cNvPicPr preferRelativeResize="1">
          <a:picLocks noChangeAspect="1"/>
        </xdr:cNvPicPr>
      </xdr:nvPicPr>
      <xdr:blipFill>
        <a:blip r:embed="rId2"/>
        <a:stretch>
          <a:fillRect/>
        </a:stretch>
      </xdr:blipFill>
      <xdr:spPr>
        <a:xfrm>
          <a:off x="2200275" y="5353050"/>
          <a:ext cx="247650" cy="333375"/>
        </a:xfrm>
        <a:prstGeom prst="rect">
          <a:avLst/>
        </a:prstGeom>
        <a:noFill/>
        <a:ln w="9525" cmpd="sng">
          <a:noFill/>
        </a:ln>
      </xdr:spPr>
    </xdr:pic>
    <xdr:clientData/>
  </xdr:twoCellAnchor>
  <xdr:twoCellAnchor>
    <xdr:from>
      <xdr:col>3</xdr:col>
      <xdr:colOff>895350</xdr:colOff>
      <xdr:row>22</xdr:row>
      <xdr:rowOff>47625</xdr:rowOff>
    </xdr:from>
    <xdr:to>
      <xdr:col>4</xdr:col>
      <xdr:colOff>19050</xdr:colOff>
      <xdr:row>22</xdr:row>
      <xdr:rowOff>352425</xdr:rowOff>
    </xdr:to>
    <xdr:pic>
      <xdr:nvPicPr>
        <xdr:cNvPr id="3" name="Picture 14"/>
        <xdr:cNvPicPr preferRelativeResize="1">
          <a:picLocks noChangeAspect="1"/>
        </xdr:cNvPicPr>
      </xdr:nvPicPr>
      <xdr:blipFill>
        <a:blip r:embed="rId3"/>
        <a:stretch>
          <a:fillRect/>
        </a:stretch>
      </xdr:blipFill>
      <xdr:spPr>
        <a:xfrm>
          <a:off x="4953000" y="5324475"/>
          <a:ext cx="333375" cy="304800"/>
        </a:xfrm>
        <a:prstGeom prst="rect">
          <a:avLst/>
        </a:prstGeom>
        <a:noFill/>
        <a:ln w="9525" cmpd="sng">
          <a:noFill/>
        </a:ln>
      </xdr:spPr>
    </xdr:pic>
    <xdr:clientData/>
  </xdr:twoCellAnchor>
  <xdr:twoCellAnchor>
    <xdr:from>
      <xdr:col>5</xdr:col>
      <xdr:colOff>790575</xdr:colOff>
      <xdr:row>22</xdr:row>
      <xdr:rowOff>95250</xdr:rowOff>
    </xdr:from>
    <xdr:to>
      <xdr:col>5</xdr:col>
      <xdr:colOff>1114425</xdr:colOff>
      <xdr:row>22</xdr:row>
      <xdr:rowOff>419100</xdr:rowOff>
    </xdr:to>
    <xdr:pic>
      <xdr:nvPicPr>
        <xdr:cNvPr id="4" name="Picture 18"/>
        <xdr:cNvPicPr preferRelativeResize="1">
          <a:picLocks noChangeAspect="1"/>
        </xdr:cNvPicPr>
      </xdr:nvPicPr>
      <xdr:blipFill>
        <a:blip r:embed="rId4"/>
        <a:stretch>
          <a:fillRect/>
        </a:stretch>
      </xdr:blipFill>
      <xdr:spPr>
        <a:xfrm>
          <a:off x="7267575" y="5372100"/>
          <a:ext cx="323850" cy="323850"/>
        </a:xfrm>
        <a:prstGeom prst="rect">
          <a:avLst/>
        </a:prstGeom>
        <a:noFill/>
        <a:ln w="9525" cmpd="sng">
          <a:noFill/>
        </a:ln>
      </xdr:spPr>
    </xdr:pic>
    <xdr:clientData/>
  </xdr:twoCellAnchor>
  <xdr:twoCellAnchor>
    <xdr:from>
      <xdr:col>4</xdr:col>
      <xdr:colOff>685800</xdr:colOff>
      <xdr:row>22</xdr:row>
      <xdr:rowOff>19050</xdr:rowOff>
    </xdr:from>
    <xdr:to>
      <xdr:col>4</xdr:col>
      <xdr:colOff>1143000</xdr:colOff>
      <xdr:row>22</xdr:row>
      <xdr:rowOff>390525</xdr:rowOff>
    </xdr:to>
    <xdr:pic>
      <xdr:nvPicPr>
        <xdr:cNvPr id="5" name="Picture 20"/>
        <xdr:cNvPicPr preferRelativeResize="1">
          <a:picLocks noChangeAspect="1"/>
        </xdr:cNvPicPr>
      </xdr:nvPicPr>
      <xdr:blipFill>
        <a:blip r:embed="rId5"/>
        <a:srcRect l="11665" t="17399" r="33332" b="16116"/>
        <a:stretch>
          <a:fillRect/>
        </a:stretch>
      </xdr:blipFill>
      <xdr:spPr>
        <a:xfrm>
          <a:off x="5953125" y="5295900"/>
          <a:ext cx="457200" cy="371475"/>
        </a:xfrm>
        <a:prstGeom prst="rect">
          <a:avLst/>
        </a:prstGeom>
        <a:noFill/>
        <a:ln w="9525" cmpd="sng">
          <a:noFill/>
        </a:ln>
      </xdr:spPr>
    </xdr:pic>
    <xdr:clientData/>
  </xdr:twoCellAnchor>
  <xdr:twoCellAnchor>
    <xdr:from>
      <xdr:col>6</xdr:col>
      <xdr:colOff>714375</xdr:colOff>
      <xdr:row>22</xdr:row>
      <xdr:rowOff>85725</xdr:rowOff>
    </xdr:from>
    <xdr:to>
      <xdr:col>6</xdr:col>
      <xdr:colOff>1095375</xdr:colOff>
      <xdr:row>22</xdr:row>
      <xdr:rowOff>495300</xdr:rowOff>
    </xdr:to>
    <xdr:pic>
      <xdr:nvPicPr>
        <xdr:cNvPr id="6" name="Picture 16"/>
        <xdr:cNvPicPr preferRelativeResize="1">
          <a:picLocks noChangeAspect="1"/>
        </xdr:cNvPicPr>
      </xdr:nvPicPr>
      <xdr:blipFill>
        <a:blip r:embed="rId6"/>
        <a:stretch>
          <a:fillRect/>
        </a:stretch>
      </xdr:blipFill>
      <xdr:spPr>
        <a:xfrm>
          <a:off x="8401050" y="5362575"/>
          <a:ext cx="381000" cy="409575"/>
        </a:xfrm>
        <a:prstGeom prst="rect">
          <a:avLst/>
        </a:prstGeom>
        <a:noFill/>
        <a:ln w="9525" cmpd="sng">
          <a:noFill/>
        </a:ln>
      </xdr:spPr>
    </xdr:pic>
    <xdr:clientData/>
  </xdr:twoCellAnchor>
  <xdr:twoCellAnchor>
    <xdr:from>
      <xdr:col>2</xdr:col>
      <xdr:colOff>1057275</xdr:colOff>
      <xdr:row>22</xdr:row>
      <xdr:rowOff>76200</xdr:rowOff>
    </xdr:from>
    <xdr:to>
      <xdr:col>2</xdr:col>
      <xdr:colOff>1295400</xdr:colOff>
      <xdr:row>22</xdr:row>
      <xdr:rowOff>409575</xdr:rowOff>
    </xdr:to>
    <xdr:pic>
      <xdr:nvPicPr>
        <xdr:cNvPr id="7" name="Picture 13"/>
        <xdr:cNvPicPr preferRelativeResize="1">
          <a:picLocks noChangeAspect="1"/>
        </xdr:cNvPicPr>
      </xdr:nvPicPr>
      <xdr:blipFill>
        <a:blip r:embed="rId2"/>
        <a:stretch>
          <a:fillRect/>
        </a:stretch>
      </xdr:blipFill>
      <xdr:spPr>
        <a:xfrm>
          <a:off x="3667125" y="5353050"/>
          <a:ext cx="23812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276225</xdr:colOff>
      <xdr:row>2</xdr:row>
      <xdr:rowOff>161925</xdr:rowOff>
    </xdr:from>
    <xdr:ext cx="3924300" cy="3705225"/>
    <xdr:graphicFrame>
      <xdr:nvGraphicFramePr>
        <xdr:cNvPr id="1" name="Chart 2" descr="Chart 0"/>
        <xdr:cNvGraphicFramePr/>
      </xdr:nvGraphicFramePr>
      <xdr:xfrm>
        <a:off x="5543550" y="542925"/>
        <a:ext cx="3924300" cy="3705225"/>
      </xdr:xfrm>
      <a:graphic>
        <a:graphicData uri="http://schemas.openxmlformats.org/drawingml/2006/chart">
          <c:chart xmlns:c="http://schemas.openxmlformats.org/drawingml/2006/chart" r:id="rId1"/>
        </a:graphicData>
      </a:graphic>
    </xdr:graphicFrame>
    <xdr:clientData fLocksWithSheet="0"/>
  </xdr:oneCellAnchor>
  <xdr:twoCellAnchor>
    <xdr:from>
      <xdr:col>1</xdr:col>
      <xdr:colOff>819150</xdr:colOff>
      <xdr:row>22</xdr:row>
      <xdr:rowOff>76200</xdr:rowOff>
    </xdr:from>
    <xdr:to>
      <xdr:col>1</xdr:col>
      <xdr:colOff>1066800</xdr:colOff>
      <xdr:row>22</xdr:row>
      <xdr:rowOff>409575</xdr:rowOff>
    </xdr:to>
    <xdr:pic>
      <xdr:nvPicPr>
        <xdr:cNvPr id="2" name="Picture 13"/>
        <xdr:cNvPicPr preferRelativeResize="1">
          <a:picLocks noChangeAspect="1"/>
        </xdr:cNvPicPr>
      </xdr:nvPicPr>
      <xdr:blipFill>
        <a:blip r:embed="rId2"/>
        <a:stretch>
          <a:fillRect/>
        </a:stretch>
      </xdr:blipFill>
      <xdr:spPr>
        <a:xfrm>
          <a:off x="2200275" y="5353050"/>
          <a:ext cx="247650" cy="333375"/>
        </a:xfrm>
        <a:prstGeom prst="rect">
          <a:avLst/>
        </a:prstGeom>
        <a:noFill/>
        <a:ln w="9525" cmpd="sng">
          <a:noFill/>
        </a:ln>
      </xdr:spPr>
    </xdr:pic>
    <xdr:clientData/>
  </xdr:twoCellAnchor>
  <xdr:twoCellAnchor>
    <xdr:from>
      <xdr:col>3</xdr:col>
      <xdr:colOff>895350</xdr:colOff>
      <xdr:row>22</xdr:row>
      <xdr:rowOff>47625</xdr:rowOff>
    </xdr:from>
    <xdr:to>
      <xdr:col>4</xdr:col>
      <xdr:colOff>19050</xdr:colOff>
      <xdr:row>22</xdr:row>
      <xdr:rowOff>352425</xdr:rowOff>
    </xdr:to>
    <xdr:pic>
      <xdr:nvPicPr>
        <xdr:cNvPr id="3" name="Picture 14"/>
        <xdr:cNvPicPr preferRelativeResize="1">
          <a:picLocks noChangeAspect="1"/>
        </xdr:cNvPicPr>
      </xdr:nvPicPr>
      <xdr:blipFill>
        <a:blip r:embed="rId3"/>
        <a:stretch>
          <a:fillRect/>
        </a:stretch>
      </xdr:blipFill>
      <xdr:spPr>
        <a:xfrm>
          <a:off x="4953000" y="5324475"/>
          <a:ext cx="333375" cy="304800"/>
        </a:xfrm>
        <a:prstGeom prst="rect">
          <a:avLst/>
        </a:prstGeom>
        <a:noFill/>
        <a:ln w="9525" cmpd="sng">
          <a:noFill/>
        </a:ln>
      </xdr:spPr>
    </xdr:pic>
    <xdr:clientData/>
  </xdr:twoCellAnchor>
  <xdr:twoCellAnchor>
    <xdr:from>
      <xdr:col>5</xdr:col>
      <xdr:colOff>790575</xdr:colOff>
      <xdr:row>22</xdr:row>
      <xdr:rowOff>95250</xdr:rowOff>
    </xdr:from>
    <xdr:to>
      <xdr:col>5</xdr:col>
      <xdr:colOff>1114425</xdr:colOff>
      <xdr:row>22</xdr:row>
      <xdr:rowOff>419100</xdr:rowOff>
    </xdr:to>
    <xdr:pic>
      <xdr:nvPicPr>
        <xdr:cNvPr id="4" name="Picture 18"/>
        <xdr:cNvPicPr preferRelativeResize="1">
          <a:picLocks noChangeAspect="1"/>
        </xdr:cNvPicPr>
      </xdr:nvPicPr>
      <xdr:blipFill>
        <a:blip r:embed="rId4"/>
        <a:stretch>
          <a:fillRect/>
        </a:stretch>
      </xdr:blipFill>
      <xdr:spPr>
        <a:xfrm>
          <a:off x="7267575" y="5372100"/>
          <a:ext cx="323850" cy="323850"/>
        </a:xfrm>
        <a:prstGeom prst="rect">
          <a:avLst/>
        </a:prstGeom>
        <a:noFill/>
        <a:ln w="9525" cmpd="sng">
          <a:noFill/>
        </a:ln>
      </xdr:spPr>
    </xdr:pic>
    <xdr:clientData/>
  </xdr:twoCellAnchor>
  <xdr:twoCellAnchor>
    <xdr:from>
      <xdr:col>4</xdr:col>
      <xdr:colOff>685800</xdr:colOff>
      <xdr:row>22</xdr:row>
      <xdr:rowOff>19050</xdr:rowOff>
    </xdr:from>
    <xdr:to>
      <xdr:col>4</xdr:col>
      <xdr:colOff>1143000</xdr:colOff>
      <xdr:row>22</xdr:row>
      <xdr:rowOff>390525</xdr:rowOff>
    </xdr:to>
    <xdr:pic>
      <xdr:nvPicPr>
        <xdr:cNvPr id="5" name="Picture 20"/>
        <xdr:cNvPicPr preferRelativeResize="1">
          <a:picLocks noChangeAspect="1"/>
        </xdr:cNvPicPr>
      </xdr:nvPicPr>
      <xdr:blipFill>
        <a:blip r:embed="rId5"/>
        <a:srcRect l="11665" t="17399" r="33332" b="16116"/>
        <a:stretch>
          <a:fillRect/>
        </a:stretch>
      </xdr:blipFill>
      <xdr:spPr>
        <a:xfrm>
          <a:off x="5953125" y="5295900"/>
          <a:ext cx="457200" cy="371475"/>
        </a:xfrm>
        <a:prstGeom prst="rect">
          <a:avLst/>
        </a:prstGeom>
        <a:noFill/>
        <a:ln w="9525" cmpd="sng">
          <a:noFill/>
        </a:ln>
      </xdr:spPr>
    </xdr:pic>
    <xdr:clientData/>
  </xdr:twoCellAnchor>
  <xdr:twoCellAnchor>
    <xdr:from>
      <xdr:col>6</xdr:col>
      <xdr:colOff>714375</xdr:colOff>
      <xdr:row>22</xdr:row>
      <xdr:rowOff>85725</xdr:rowOff>
    </xdr:from>
    <xdr:to>
      <xdr:col>6</xdr:col>
      <xdr:colOff>1095375</xdr:colOff>
      <xdr:row>22</xdr:row>
      <xdr:rowOff>495300</xdr:rowOff>
    </xdr:to>
    <xdr:pic>
      <xdr:nvPicPr>
        <xdr:cNvPr id="6" name="Picture 16"/>
        <xdr:cNvPicPr preferRelativeResize="1">
          <a:picLocks noChangeAspect="1"/>
        </xdr:cNvPicPr>
      </xdr:nvPicPr>
      <xdr:blipFill>
        <a:blip r:embed="rId6"/>
        <a:stretch>
          <a:fillRect/>
        </a:stretch>
      </xdr:blipFill>
      <xdr:spPr>
        <a:xfrm>
          <a:off x="8401050" y="5362575"/>
          <a:ext cx="381000" cy="409575"/>
        </a:xfrm>
        <a:prstGeom prst="rect">
          <a:avLst/>
        </a:prstGeom>
        <a:noFill/>
        <a:ln w="9525" cmpd="sng">
          <a:noFill/>
        </a:ln>
      </xdr:spPr>
    </xdr:pic>
    <xdr:clientData/>
  </xdr:twoCellAnchor>
  <xdr:twoCellAnchor>
    <xdr:from>
      <xdr:col>2</xdr:col>
      <xdr:colOff>1057275</xdr:colOff>
      <xdr:row>22</xdr:row>
      <xdr:rowOff>76200</xdr:rowOff>
    </xdr:from>
    <xdr:to>
      <xdr:col>2</xdr:col>
      <xdr:colOff>1295400</xdr:colOff>
      <xdr:row>22</xdr:row>
      <xdr:rowOff>409575</xdr:rowOff>
    </xdr:to>
    <xdr:pic>
      <xdr:nvPicPr>
        <xdr:cNvPr id="7" name="Picture 13"/>
        <xdr:cNvPicPr preferRelativeResize="1">
          <a:picLocks noChangeAspect="1"/>
        </xdr:cNvPicPr>
      </xdr:nvPicPr>
      <xdr:blipFill>
        <a:blip r:embed="rId2"/>
        <a:stretch>
          <a:fillRect/>
        </a:stretch>
      </xdr:blipFill>
      <xdr:spPr>
        <a:xfrm>
          <a:off x="3667125" y="5353050"/>
          <a:ext cx="2381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waitrose.com/ecom/products/waitrose-physalis/088241-45208-45209"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1"/>
  <sheetViews>
    <sheetView zoomScale="85" zoomScaleNormal="85" zoomScalePageLayoutView="0" workbookViewId="0" topLeftCell="A1">
      <selection activeCell="I15" sqref="I15"/>
    </sheetView>
  </sheetViews>
  <sheetFormatPr defaultColWidth="9.140625" defaultRowHeight="15"/>
  <cols>
    <col min="1" max="3" width="17.28125" style="0" customWidth="1"/>
    <col min="4" max="6" width="17.421875" style="0" customWidth="1"/>
  </cols>
  <sheetData>
    <row r="1" spans="1:6" ht="18.75">
      <c r="A1" s="46" t="s">
        <v>146</v>
      </c>
      <c r="B1" s="36"/>
      <c r="C1" s="36"/>
      <c r="D1" s="37" t="s">
        <v>139</v>
      </c>
      <c r="E1" s="37"/>
      <c r="F1" s="38"/>
    </row>
    <row r="2" spans="1:6" ht="18.75">
      <c r="A2" s="41"/>
      <c r="B2" s="39"/>
      <c r="C2" s="39"/>
      <c r="D2" s="39"/>
      <c r="E2" s="39"/>
      <c r="F2" s="40"/>
    </row>
    <row r="3" spans="1:6" ht="14.25" customHeight="1">
      <c r="A3" s="87" t="s">
        <v>156</v>
      </c>
      <c r="B3" s="88"/>
      <c r="C3" s="88"/>
      <c r="D3" s="93"/>
      <c r="E3" s="85" t="s">
        <v>144</v>
      </c>
      <c r="F3" s="86"/>
    </row>
    <row r="4" spans="1:6" ht="13.5" customHeight="1">
      <c r="A4" s="87"/>
      <c r="B4" s="88"/>
      <c r="C4" s="88"/>
      <c r="D4" s="93"/>
      <c r="E4" s="85"/>
      <c r="F4" s="86"/>
    </row>
    <row r="5" spans="1:6" ht="15">
      <c r="A5" s="87"/>
      <c r="B5" s="88"/>
      <c r="C5" s="88"/>
      <c r="D5" s="93"/>
      <c r="E5" s="85"/>
      <c r="F5" s="86"/>
    </row>
    <row r="6" spans="1:6" ht="15">
      <c r="A6" s="87"/>
      <c r="B6" s="88"/>
      <c r="C6" s="88"/>
      <c r="D6" s="39"/>
      <c r="E6" s="39"/>
      <c r="F6" s="42"/>
    </row>
    <row r="7" spans="1:6" ht="15">
      <c r="A7" s="87"/>
      <c r="B7" s="88"/>
      <c r="C7" s="88"/>
      <c r="D7" s="39"/>
      <c r="E7" s="94" t="s">
        <v>143</v>
      </c>
      <c r="F7" s="95"/>
    </row>
    <row r="8" spans="1:6" ht="15">
      <c r="A8" s="87"/>
      <c r="B8" s="88"/>
      <c r="C8" s="88"/>
      <c r="D8" s="39"/>
      <c r="E8" s="94"/>
      <c r="F8" s="95"/>
    </row>
    <row r="9" spans="1:6" ht="19.5" customHeight="1">
      <c r="A9" s="87"/>
      <c r="B9" s="88"/>
      <c r="C9" s="88"/>
      <c r="D9" s="39"/>
      <c r="E9" s="94"/>
      <c r="F9" s="95"/>
    </row>
    <row r="10" spans="1:6" ht="15">
      <c r="A10" s="87"/>
      <c r="B10" s="88"/>
      <c r="C10" s="88"/>
      <c r="D10" s="39"/>
      <c r="E10" s="85" t="s">
        <v>152</v>
      </c>
      <c r="F10" s="86"/>
    </row>
    <row r="11" spans="1:6" ht="15">
      <c r="A11" s="87"/>
      <c r="B11" s="88"/>
      <c r="C11" s="88"/>
      <c r="D11" s="39"/>
      <c r="E11" s="85"/>
      <c r="F11" s="86"/>
    </row>
    <row r="12" spans="1:6" s="2" customFormat="1" ht="22.5" customHeight="1">
      <c r="A12" s="87"/>
      <c r="B12" s="88"/>
      <c r="C12" s="88"/>
      <c r="D12" s="39"/>
      <c r="E12" s="85"/>
      <c r="F12" s="86"/>
    </row>
    <row r="13" spans="1:6" ht="14.25" customHeight="1">
      <c r="A13" s="87"/>
      <c r="B13" s="88"/>
      <c r="C13" s="88"/>
      <c r="D13" s="39"/>
      <c r="E13" s="24"/>
      <c r="F13" s="43"/>
    </row>
    <row r="14" spans="1:6" ht="15">
      <c r="A14" s="87"/>
      <c r="B14" s="88"/>
      <c r="C14" s="88"/>
      <c r="D14" s="39"/>
      <c r="E14" s="85" t="s">
        <v>140</v>
      </c>
      <c r="F14" s="86"/>
    </row>
    <row r="15" spans="1:6" ht="15">
      <c r="A15" s="87"/>
      <c r="B15" s="88"/>
      <c r="C15" s="88"/>
      <c r="D15" s="32"/>
      <c r="E15" s="85"/>
      <c r="F15" s="86"/>
    </row>
    <row r="16" spans="1:6" ht="15">
      <c r="A16" s="87"/>
      <c r="B16" s="88"/>
      <c r="C16" s="88"/>
      <c r="D16" s="32"/>
      <c r="E16" s="85"/>
      <c r="F16" s="86"/>
    </row>
    <row r="17" spans="1:6" ht="15">
      <c r="A17" s="87"/>
      <c r="B17" s="88"/>
      <c r="C17" s="88"/>
      <c r="D17" s="32"/>
      <c r="E17" s="25"/>
      <c r="F17" s="44"/>
    </row>
    <row r="18" spans="1:6" ht="15">
      <c r="A18" s="48"/>
      <c r="B18" s="47"/>
      <c r="C18" s="47"/>
      <c r="D18" s="32"/>
      <c r="E18" s="81" t="s">
        <v>142</v>
      </c>
      <c r="F18" s="82"/>
    </row>
    <row r="19" spans="1:6" ht="15">
      <c r="A19" s="89" t="s">
        <v>155</v>
      </c>
      <c r="B19" s="90"/>
      <c r="C19" s="90"/>
      <c r="D19" s="32"/>
      <c r="E19" s="81"/>
      <c r="F19" s="82"/>
    </row>
    <row r="20" spans="1:6" ht="15">
      <c r="A20" s="89"/>
      <c r="B20" s="90"/>
      <c r="C20" s="90"/>
      <c r="D20" s="39"/>
      <c r="E20" s="81"/>
      <c r="F20" s="82"/>
    </row>
    <row r="21" spans="1:6" ht="15.75" thickBot="1">
      <c r="A21" s="91"/>
      <c r="B21" s="92"/>
      <c r="C21" s="92"/>
      <c r="D21" s="45"/>
      <c r="E21" s="83"/>
      <c r="F21" s="84"/>
    </row>
  </sheetData>
  <sheetProtection/>
  <mergeCells count="8">
    <mergeCell ref="E18:F21"/>
    <mergeCell ref="E14:F16"/>
    <mergeCell ref="A3:C17"/>
    <mergeCell ref="A19:C21"/>
    <mergeCell ref="D3:D5"/>
    <mergeCell ref="E3:F5"/>
    <mergeCell ref="E7:F9"/>
    <mergeCell ref="E10:F12"/>
  </mergeCells>
  <printOptions/>
  <pageMargins left="0.7" right="0.7" top="0.75" bottom="0.75" header="0.3" footer="0.3"/>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AJ1000"/>
  <sheetViews>
    <sheetView tabSelected="1" zoomScale="85" zoomScaleNormal="85" zoomScalePageLayoutView="0" workbookViewId="0" topLeftCell="A1">
      <pane xSplit="1" topLeftCell="B1" activePane="topRight" state="frozen"/>
      <selection pane="topLeft" activeCell="A15" sqref="A15"/>
      <selection pane="topRight" activeCell="AM5" sqref="AM5"/>
    </sheetView>
  </sheetViews>
  <sheetFormatPr defaultColWidth="14.421875" defaultRowHeight="15" customHeight="1"/>
  <cols>
    <col min="1" max="1" width="20.7109375" style="0" customWidth="1"/>
    <col min="2" max="2" width="18.421875" style="0" customWidth="1"/>
    <col min="3" max="3" width="21.7109375" style="0" customWidth="1"/>
    <col min="4" max="4" width="18.140625" style="0" customWidth="1"/>
    <col min="5" max="7" width="18.140625" style="2" customWidth="1"/>
    <col min="8" max="9" width="12.8515625" style="0" customWidth="1"/>
    <col min="10" max="10" width="13.57421875" style="0" hidden="1" customWidth="1"/>
    <col min="11" max="11" width="11.28125" style="0" hidden="1" customWidth="1"/>
    <col min="12" max="14" width="8.7109375" style="2" hidden="1" customWidth="1"/>
    <col min="15" max="20" width="8.7109375" style="0" hidden="1" customWidth="1"/>
    <col min="21" max="21" width="11.8515625" style="0" hidden="1" customWidth="1"/>
    <col min="22" max="22" width="14.57421875" style="0" hidden="1" customWidth="1"/>
    <col min="23" max="23" width="13.57421875" style="0" hidden="1" customWidth="1"/>
    <col min="24" max="26" width="8.7109375" style="0" hidden="1" customWidth="1"/>
    <col min="27" max="27" width="9.140625" style="0" hidden="1" customWidth="1"/>
    <col min="28" max="28" width="8.7109375" style="80" hidden="1" customWidth="1"/>
    <col min="29" max="29" width="14.57421875" style="80" hidden="1" customWidth="1"/>
    <col min="30" max="30" width="13.57421875" style="80" hidden="1" customWidth="1"/>
    <col min="31" max="32" width="9.140625" style="0" hidden="1" customWidth="1"/>
    <col min="33" max="35" width="8.00390625" style="0" hidden="1" customWidth="1"/>
    <col min="36" max="36" width="14.421875" style="0" hidden="1" customWidth="1"/>
    <col min="37" max="37" width="0" style="0" hidden="1" customWidth="1"/>
  </cols>
  <sheetData>
    <row r="1" spans="1:5" s="23" customFormat="1" ht="15" customHeight="1" thickBot="1">
      <c r="A1" s="99" t="s">
        <v>153</v>
      </c>
      <c r="B1" s="100"/>
      <c r="C1" s="100"/>
      <c r="D1" s="101"/>
      <c r="E1" s="63"/>
    </row>
    <row r="2" spans="1:5" s="23" customFormat="1" ht="15" customHeight="1">
      <c r="A2" s="63"/>
      <c r="B2" s="63"/>
      <c r="C2" s="63"/>
      <c r="D2" s="63"/>
      <c r="E2" s="63"/>
    </row>
    <row r="3" spans="1:30" s="2" customFormat="1" ht="15" customHeight="1">
      <c r="A3" s="102" t="s">
        <v>0</v>
      </c>
      <c r="B3" s="103"/>
      <c r="C3" s="103"/>
      <c r="D3" s="103"/>
      <c r="E3" s="23"/>
      <c r="F3" s="23"/>
      <c r="G3" s="23"/>
      <c r="H3" s="23"/>
      <c r="I3" s="23"/>
      <c r="J3" s="23"/>
      <c r="K3" s="23"/>
      <c r="L3" s="23"/>
      <c r="M3" s="23"/>
      <c r="N3" s="23"/>
      <c r="O3" s="23"/>
      <c r="P3" s="23"/>
      <c r="Q3" s="23"/>
      <c r="R3" s="23"/>
      <c r="S3" s="23"/>
      <c r="T3" s="23"/>
      <c r="U3" s="23"/>
      <c r="V3" s="23"/>
      <c r="W3" s="23"/>
      <c r="X3" s="23"/>
      <c r="Y3" s="23"/>
      <c r="Z3" s="23"/>
      <c r="AB3" s="23"/>
      <c r="AC3" s="23"/>
      <c r="AD3" s="23"/>
    </row>
    <row r="4" spans="1:30" s="28" customFormat="1" ht="15.75" customHeight="1">
      <c r="A4" s="31"/>
      <c r="B4" s="31"/>
      <c r="C4" s="31"/>
      <c r="D4" s="31"/>
      <c r="E4" s="30"/>
      <c r="F4" s="30"/>
      <c r="G4" s="26"/>
      <c r="H4" s="62"/>
      <c r="I4" s="62"/>
      <c r="J4" s="31"/>
      <c r="K4" s="31"/>
      <c r="L4" s="31"/>
      <c r="M4" s="31"/>
      <c r="N4" s="31"/>
      <c r="O4" s="31"/>
      <c r="P4" s="31"/>
      <c r="Q4" s="31"/>
      <c r="R4" s="31"/>
      <c r="S4" s="31"/>
      <c r="T4" s="31"/>
      <c r="U4" s="31"/>
      <c r="V4" s="49"/>
      <c r="W4" s="49"/>
      <c r="X4" s="49"/>
      <c r="Y4" s="49"/>
      <c r="Z4" s="49"/>
      <c r="AB4" s="31"/>
      <c r="AC4" s="49"/>
      <c r="AD4" s="49"/>
    </row>
    <row r="5" spans="1:35" ht="15" customHeight="1">
      <c r="A5" s="104" t="s">
        <v>148</v>
      </c>
      <c r="B5" s="105"/>
      <c r="C5" s="105"/>
      <c r="D5" s="105"/>
      <c r="E5" s="93"/>
      <c r="F5" s="85"/>
      <c r="G5" s="85"/>
      <c r="H5" s="4"/>
      <c r="I5" s="4"/>
      <c r="R5" s="2"/>
      <c r="S5" s="2"/>
      <c r="V5" s="3"/>
      <c r="W5" s="3"/>
      <c r="X5" s="3"/>
      <c r="Y5" s="3"/>
      <c r="Z5" s="3"/>
      <c r="AC5" s="19"/>
      <c r="AD5" s="19"/>
      <c r="AG5" s="2"/>
      <c r="AH5" s="2"/>
      <c r="AI5" s="2"/>
    </row>
    <row r="6" spans="1:35" ht="15" customHeight="1">
      <c r="A6" s="105"/>
      <c r="B6" s="106"/>
      <c r="C6" s="106"/>
      <c r="D6" s="106"/>
      <c r="E6" s="93"/>
      <c r="F6" s="85"/>
      <c r="G6" s="85"/>
      <c r="H6" s="4"/>
      <c r="I6" s="4"/>
      <c r="R6" s="2"/>
      <c r="S6" s="2"/>
      <c r="V6" s="3"/>
      <c r="W6" s="3"/>
      <c r="X6" s="3"/>
      <c r="Y6" s="3"/>
      <c r="Z6" s="3"/>
      <c r="AC6" s="19"/>
      <c r="AD6" s="19"/>
      <c r="AG6" s="2"/>
      <c r="AH6" s="2"/>
      <c r="AI6" s="2"/>
    </row>
    <row r="7" spans="1:35" ht="15" customHeight="1">
      <c r="A7" s="105"/>
      <c r="B7" s="106"/>
      <c r="C7" s="106"/>
      <c r="D7" s="106"/>
      <c r="E7" s="93"/>
      <c r="F7" s="85"/>
      <c r="G7" s="85"/>
      <c r="H7" s="4"/>
      <c r="I7" s="4"/>
      <c r="R7" s="2"/>
      <c r="S7" s="2"/>
      <c r="V7" s="3"/>
      <c r="W7" s="3"/>
      <c r="X7" s="3"/>
      <c r="Y7" s="3"/>
      <c r="Z7" s="3"/>
      <c r="AC7" s="19"/>
      <c r="AD7" s="19"/>
      <c r="AG7" s="2"/>
      <c r="AH7" s="2"/>
      <c r="AI7" s="2"/>
    </row>
    <row r="8" spans="1:35" ht="15" customHeight="1">
      <c r="A8" s="105"/>
      <c r="B8" s="106"/>
      <c r="C8" s="106"/>
      <c r="D8" s="106"/>
      <c r="E8" s="23"/>
      <c r="F8" s="96"/>
      <c r="G8" s="96"/>
      <c r="H8" s="4"/>
      <c r="I8" s="4"/>
      <c r="R8" s="2"/>
      <c r="S8" s="2"/>
      <c r="V8" s="3"/>
      <c r="W8" s="3"/>
      <c r="X8" s="3"/>
      <c r="Y8" s="3"/>
      <c r="Z8" s="3"/>
      <c r="AC8" s="19"/>
      <c r="AD8" s="19"/>
      <c r="AG8" s="2"/>
      <c r="AH8" s="2"/>
      <c r="AI8" s="2"/>
    </row>
    <row r="9" spans="1:35" ht="15" customHeight="1">
      <c r="A9" s="105"/>
      <c r="B9" s="106"/>
      <c r="C9" s="106"/>
      <c r="D9" s="106"/>
      <c r="E9" s="23"/>
      <c r="F9" s="96"/>
      <c r="G9" s="96"/>
      <c r="H9" s="4"/>
      <c r="I9" s="4"/>
      <c r="R9" s="2"/>
      <c r="S9" s="2"/>
      <c r="V9" s="3"/>
      <c r="W9" s="3"/>
      <c r="X9" s="3"/>
      <c r="Y9" s="3"/>
      <c r="Z9" s="3"/>
      <c r="AC9" s="19"/>
      <c r="AD9" s="19"/>
      <c r="AG9" s="2"/>
      <c r="AH9" s="2"/>
      <c r="AI9" s="2"/>
    </row>
    <row r="10" spans="1:35" ht="15" customHeight="1">
      <c r="A10" s="105"/>
      <c r="B10" s="106"/>
      <c r="C10" s="106"/>
      <c r="D10" s="106"/>
      <c r="E10" s="23"/>
      <c r="F10" s="96"/>
      <c r="G10" s="96"/>
      <c r="H10" s="4"/>
      <c r="I10" s="4"/>
      <c r="R10" s="2"/>
      <c r="S10" s="2"/>
      <c r="V10" s="3"/>
      <c r="W10" s="3"/>
      <c r="X10" s="3"/>
      <c r="Y10" s="3"/>
      <c r="Z10" s="3"/>
      <c r="AC10" s="19"/>
      <c r="AD10" s="19"/>
      <c r="AG10" s="2"/>
      <c r="AH10" s="2"/>
      <c r="AI10" s="2"/>
    </row>
    <row r="11" spans="1:35" ht="15.75" customHeight="1">
      <c r="A11" s="105"/>
      <c r="B11" s="106"/>
      <c r="C11" s="106"/>
      <c r="D11" s="106"/>
      <c r="E11" s="23"/>
      <c r="F11" s="112"/>
      <c r="G11" s="112"/>
      <c r="H11" s="4"/>
      <c r="I11" s="4"/>
      <c r="R11" s="2"/>
      <c r="S11" s="2"/>
      <c r="V11" s="3"/>
      <c r="W11" s="3"/>
      <c r="X11" s="3"/>
      <c r="Y11" s="3"/>
      <c r="Z11" s="3"/>
      <c r="AC11" s="19"/>
      <c r="AD11" s="19"/>
      <c r="AG11" s="2"/>
      <c r="AH11" s="2"/>
      <c r="AI11" s="2"/>
    </row>
    <row r="12" spans="1:35" ht="25.5" customHeight="1">
      <c r="A12" s="105"/>
      <c r="B12" s="106"/>
      <c r="C12" s="106"/>
      <c r="D12" s="106"/>
      <c r="E12" s="23"/>
      <c r="F12" s="112"/>
      <c r="G12" s="112"/>
      <c r="H12" s="4"/>
      <c r="I12" s="4"/>
      <c r="R12" s="2"/>
      <c r="S12" s="2"/>
      <c r="V12" s="3"/>
      <c r="W12" s="3"/>
      <c r="X12" s="3"/>
      <c r="Y12" s="3"/>
      <c r="Z12" s="3"/>
      <c r="AC12" s="19"/>
      <c r="AD12" s="19"/>
      <c r="AG12" s="2"/>
      <c r="AH12" s="2"/>
      <c r="AI12" s="2"/>
    </row>
    <row r="13" spans="1:35" ht="15.75" customHeight="1">
      <c r="A13" s="105"/>
      <c r="B13" s="106"/>
      <c r="C13" s="106"/>
      <c r="D13" s="106"/>
      <c r="E13" s="23"/>
      <c r="F13" s="112"/>
      <c r="G13" s="112"/>
      <c r="H13" s="4"/>
      <c r="I13" s="4"/>
      <c r="R13" s="2"/>
      <c r="S13" s="2"/>
      <c r="V13" s="3"/>
      <c r="W13" s="3"/>
      <c r="X13" s="3"/>
      <c r="Y13" s="3"/>
      <c r="Z13" s="3"/>
      <c r="AC13" s="19"/>
      <c r="AD13" s="19"/>
      <c r="AG13" s="2"/>
      <c r="AH13" s="2"/>
      <c r="AI13" s="2"/>
    </row>
    <row r="14" spans="1:35" ht="55.5" customHeight="1">
      <c r="A14" s="105"/>
      <c r="B14" s="106"/>
      <c r="C14" s="106"/>
      <c r="D14" s="106"/>
      <c r="E14" s="23"/>
      <c r="F14" s="112"/>
      <c r="G14" s="112"/>
      <c r="H14" s="4"/>
      <c r="I14" s="4"/>
      <c r="R14" s="2"/>
      <c r="S14" s="2"/>
      <c r="V14" s="3"/>
      <c r="W14" s="3"/>
      <c r="X14" s="3"/>
      <c r="Y14" s="3"/>
      <c r="Z14" s="3"/>
      <c r="AC14" s="19"/>
      <c r="AD14" s="19"/>
      <c r="AG14" s="2"/>
      <c r="AH14" s="2"/>
      <c r="AI14" s="2"/>
    </row>
    <row r="15" spans="1:34" ht="42" customHeight="1">
      <c r="A15" s="107" t="s">
        <v>1</v>
      </c>
      <c r="B15" s="108"/>
      <c r="C15" s="3"/>
      <c r="D15" s="19"/>
      <c r="E15" s="19"/>
      <c r="F15" s="112"/>
      <c r="G15" s="112"/>
      <c r="H15" s="3"/>
      <c r="I15" s="23"/>
      <c r="K15" s="2"/>
      <c r="N15"/>
      <c r="Q15" s="2"/>
      <c r="R15" s="2"/>
      <c r="U15" s="3"/>
      <c r="V15" s="3"/>
      <c r="W15" s="3"/>
      <c r="X15" s="3"/>
      <c r="Y15" s="3"/>
      <c r="AC15" s="19"/>
      <c r="AD15" s="19"/>
      <c r="AF15" s="2"/>
      <c r="AG15" s="2"/>
      <c r="AH15" s="2"/>
    </row>
    <row r="16" spans="1:34" ht="15.75" customHeight="1">
      <c r="A16" s="6" t="s">
        <v>2</v>
      </c>
      <c r="B16" s="7"/>
      <c r="C16" s="3"/>
      <c r="D16" s="19"/>
      <c r="E16" s="19"/>
      <c r="F16" s="111" t="s">
        <v>149</v>
      </c>
      <c r="G16" s="111"/>
      <c r="H16" s="3"/>
      <c r="I16" s="23"/>
      <c r="K16" s="2"/>
      <c r="N16"/>
      <c r="Q16" s="2"/>
      <c r="R16" s="2"/>
      <c r="U16" s="3"/>
      <c r="V16" s="3"/>
      <c r="W16" s="3"/>
      <c r="X16" s="3"/>
      <c r="Y16" s="3"/>
      <c r="AC16" s="19"/>
      <c r="AD16" s="19"/>
      <c r="AF16" s="2"/>
      <c r="AG16" s="2"/>
      <c r="AH16" s="2"/>
    </row>
    <row r="17" spans="1:34" ht="15.75" customHeight="1">
      <c r="A17" s="6" t="s">
        <v>3</v>
      </c>
      <c r="B17" s="8"/>
      <c r="D17" s="19"/>
      <c r="E17" s="19"/>
      <c r="F17" s="111"/>
      <c r="G17" s="111"/>
      <c r="H17" s="3"/>
      <c r="I17" s="23"/>
      <c r="K17" s="2"/>
      <c r="N17"/>
      <c r="Q17" s="2"/>
      <c r="R17" s="2"/>
      <c r="U17" s="3"/>
      <c r="V17" s="3"/>
      <c r="W17" s="3"/>
      <c r="X17" s="3"/>
      <c r="Y17" s="3"/>
      <c r="AC17" s="19"/>
      <c r="AD17" s="19"/>
      <c r="AF17" s="2"/>
      <c r="AG17" s="2"/>
      <c r="AH17" s="2"/>
    </row>
    <row r="18" spans="1:34" ht="15.75" customHeight="1">
      <c r="A18" s="6" t="s">
        <v>4</v>
      </c>
      <c r="B18" s="9">
        <f>SUM(P24:P123)</f>
        <v>0</v>
      </c>
      <c r="C18" s="97" t="s">
        <v>145</v>
      </c>
      <c r="D18" s="98"/>
      <c r="E18" s="19"/>
      <c r="F18" s="111"/>
      <c r="G18" s="111"/>
      <c r="H18" s="3"/>
      <c r="I18" s="23"/>
      <c r="K18" s="2"/>
      <c r="N18"/>
      <c r="Q18" s="2"/>
      <c r="R18" s="2"/>
      <c r="U18" s="3"/>
      <c r="V18" s="3"/>
      <c r="W18" s="3"/>
      <c r="X18" s="3"/>
      <c r="Y18" s="3"/>
      <c r="AC18" s="19"/>
      <c r="AD18" s="19"/>
      <c r="AF18" s="2"/>
      <c r="AG18" s="2"/>
      <c r="AH18" s="2"/>
    </row>
    <row r="19" spans="1:34" ht="15.75" customHeight="1">
      <c r="A19" s="6" t="s">
        <v>5</v>
      </c>
      <c r="B19" s="9">
        <f>SUM(Q24:Q123)</f>
        <v>0</v>
      </c>
      <c r="C19" s="97"/>
      <c r="D19" s="98"/>
      <c r="E19" s="19"/>
      <c r="F19" s="111"/>
      <c r="G19" s="111"/>
      <c r="H19" s="3"/>
      <c r="I19" s="23"/>
      <c r="K19" s="2"/>
      <c r="N19"/>
      <c r="Q19" s="2"/>
      <c r="R19" s="2"/>
      <c r="U19" s="3"/>
      <c r="V19" s="3"/>
      <c r="W19" s="3"/>
      <c r="X19" s="3"/>
      <c r="Y19" s="3"/>
      <c r="AC19" s="19"/>
      <c r="AD19" s="19"/>
      <c r="AF19" s="2"/>
      <c r="AG19" s="2"/>
      <c r="AH19" s="2"/>
    </row>
    <row r="20" spans="1:34" ht="15.75" customHeight="1">
      <c r="A20" s="6" t="s">
        <v>6</v>
      </c>
      <c r="B20" s="10">
        <f>IF(B18&gt;0,B19/B18,"")</f>
      </c>
      <c r="C20" s="34" t="e">
        <f>100%-B20</f>
        <v>#VALUE!</v>
      </c>
      <c r="D20" s="33"/>
      <c r="E20" s="20"/>
      <c r="F20" s="20"/>
      <c r="G20" s="3"/>
      <c r="H20" s="3"/>
      <c r="I20" s="23"/>
      <c r="K20" s="2"/>
      <c r="N20"/>
      <c r="Q20" s="2"/>
      <c r="R20" s="2"/>
      <c r="U20" s="3"/>
      <c r="V20" s="3"/>
      <c r="W20" s="3"/>
      <c r="X20" s="3"/>
      <c r="Y20" s="3"/>
      <c r="AC20" s="19"/>
      <c r="AD20" s="19"/>
      <c r="AF20" s="2"/>
      <c r="AG20" s="2"/>
      <c r="AH20" s="2"/>
    </row>
    <row r="21" spans="1:35" ht="15.75" customHeight="1">
      <c r="A21" s="35" t="s">
        <v>150</v>
      </c>
      <c r="B21" s="109" t="s">
        <v>147</v>
      </c>
      <c r="C21" s="109"/>
      <c r="D21" s="109"/>
      <c r="E21" s="109"/>
      <c r="F21" s="109"/>
      <c r="G21" s="109"/>
      <c r="H21" s="3"/>
      <c r="I21" s="3"/>
      <c r="R21" s="2"/>
      <c r="S21" s="2"/>
      <c r="V21" s="3"/>
      <c r="W21" s="3"/>
      <c r="X21" s="3"/>
      <c r="Y21" s="3"/>
      <c r="Z21" s="3"/>
      <c r="AC21" s="19"/>
      <c r="AD21" s="19"/>
      <c r="AG21" s="2"/>
      <c r="AH21" s="2"/>
      <c r="AI21" s="2"/>
    </row>
    <row r="22" spans="1:35" ht="15.75" customHeight="1">
      <c r="A22" s="35" t="s">
        <v>151</v>
      </c>
      <c r="B22" s="110"/>
      <c r="C22" s="110"/>
      <c r="D22" s="110"/>
      <c r="E22" s="110"/>
      <c r="F22" s="110"/>
      <c r="G22" s="110"/>
      <c r="H22" s="3"/>
      <c r="I22" s="3"/>
      <c r="R22" s="2"/>
      <c r="S22" s="2"/>
      <c r="V22" s="3"/>
      <c r="W22" s="3"/>
      <c r="X22" s="3"/>
      <c r="Y22" s="3"/>
      <c r="Z22" s="3"/>
      <c r="AC22" s="19"/>
      <c r="AD22" s="19"/>
      <c r="AG22" s="2"/>
      <c r="AH22" s="2"/>
      <c r="AI22" s="2"/>
    </row>
    <row r="23" spans="1:36" ht="43.5" customHeight="1" thickBot="1">
      <c r="A23" s="11" t="s">
        <v>7</v>
      </c>
      <c r="B23" s="79" t="s">
        <v>135</v>
      </c>
      <c r="C23" s="22" t="s">
        <v>134</v>
      </c>
      <c r="D23" s="22" t="s">
        <v>137</v>
      </c>
      <c r="E23" s="22" t="s">
        <v>136</v>
      </c>
      <c r="F23" s="22" t="s">
        <v>138</v>
      </c>
      <c r="G23" s="22" t="s">
        <v>141</v>
      </c>
      <c r="H23" s="13" t="s">
        <v>8</v>
      </c>
      <c r="I23" s="12" t="s">
        <v>9</v>
      </c>
      <c r="J23" s="14" t="s">
        <v>133</v>
      </c>
      <c r="K23" s="14" t="s">
        <v>132</v>
      </c>
      <c r="L23" s="14" t="s">
        <v>129</v>
      </c>
      <c r="M23" s="14" t="s">
        <v>130</v>
      </c>
      <c r="N23" s="14" t="s">
        <v>131</v>
      </c>
      <c r="O23" s="14" t="s">
        <v>10</v>
      </c>
      <c r="P23" s="14" t="s">
        <v>11</v>
      </c>
      <c r="Q23" s="14" t="s">
        <v>12</v>
      </c>
      <c r="R23" s="14" t="s">
        <v>13</v>
      </c>
      <c r="S23" s="14" t="s">
        <v>14</v>
      </c>
      <c r="T23" s="14" t="s">
        <v>15</v>
      </c>
      <c r="U23" s="14" t="s">
        <v>16</v>
      </c>
      <c r="V23" s="3" t="s">
        <v>17</v>
      </c>
      <c r="W23" s="3" t="s">
        <v>163</v>
      </c>
      <c r="X23" s="65" t="s">
        <v>164</v>
      </c>
      <c r="Y23" s="65" t="s">
        <v>166</v>
      </c>
      <c r="AB23" s="14" t="s">
        <v>353</v>
      </c>
      <c r="AC23" s="19" t="s">
        <v>352</v>
      </c>
      <c r="AD23" s="19" t="s">
        <v>352</v>
      </c>
      <c r="AE23" s="3" t="s">
        <v>350</v>
      </c>
      <c r="AF23" s="3" t="s">
        <v>351</v>
      </c>
      <c r="AG23" s="3"/>
      <c r="AH23" s="19" t="s">
        <v>158</v>
      </c>
      <c r="AI23" s="19" t="s">
        <v>347</v>
      </c>
      <c r="AJ23" s="19" t="s">
        <v>346</v>
      </c>
    </row>
    <row r="24" spans="1:36" s="17" customFormat="1" ht="31.5" customHeight="1" thickBot="1">
      <c r="A24" s="75" t="s">
        <v>18</v>
      </c>
      <c r="B24" s="117"/>
      <c r="C24" s="118"/>
      <c r="D24" s="118"/>
      <c r="E24" s="118"/>
      <c r="F24" s="118"/>
      <c r="G24" s="118"/>
      <c r="H24" s="52">
        <f aca="true" t="shared" si="0" ref="H24:H55">P24</f>
        <v>0</v>
      </c>
      <c r="I24" s="52">
        <f aca="true" t="shared" si="1" ref="I24:I55">Q24</f>
        <v>0</v>
      </c>
      <c r="J24" s="53">
        <f>D24*R24</f>
        <v>0</v>
      </c>
      <c r="K24" s="54">
        <f>C24*28.3495</f>
        <v>0</v>
      </c>
      <c r="L24" s="55">
        <f>E24*100</f>
        <v>0</v>
      </c>
      <c r="M24" s="55">
        <f>F24*300</f>
        <v>0</v>
      </c>
      <c r="N24" s="55">
        <f>G24*120</f>
        <v>0</v>
      </c>
      <c r="O24" s="53">
        <f>B24+SUM(J24:N24)</f>
        <v>0</v>
      </c>
      <c r="P24" s="54">
        <f>S24*O24</f>
        <v>0</v>
      </c>
      <c r="Q24" s="54">
        <f>P24*U24</f>
        <v>0</v>
      </c>
      <c r="R24" s="15">
        <v>1</v>
      </c>
      <c r="S24" s="17">
        <f>13.34/1000</f>
        <v>0.01334</v>
      </c>
      <c r="T24" s="57">
        <f aca="true" t="shared" si="2" ref="T24:T85">S24*100</f>
        <v>1.3339999999999999</v>
      </c>
      <c r="U24" s="15">
        <v>1</v>
      </c>
      <c r="V24" s="113" t="s">
        <v>356</v>
      </c>
      <c r="W24" s="58" t="s">
        <v>354</v>
      </c>
      <c r="AB24" s="74">
        <f>16/1000</f>
        <v>0.016</v>
      </c>
      <c r="AC24" s="74" t="s">
        <v>159</v>
      </c>
      <c r="AD24" s="58" t="s">
        <v>165</v>
      </c>
      <c r="AE24" s="58" t="s">
        <v>19</v>
      </c>
      <c r="AF24" s="56">
        <f>15/1000</f>
        <v>0.015</v>
      </c>
      <c r="AG24" s="58"/>
      <c r="AH24" s="113">
        <f>18.67/1000</f>
        <v>0.018670000000000003</v>
      </c>
      <c r="AI24" s="115" t="s">
        <v>357</v>
      </c>
      <c r="AJ24" s="17">
        <v>2023</v>
      </c>
    </row>
    <row r="25" spans="1:35" s="17" customFormat="1" ht="31.5" customHeight="1" thickBot="1">
      <c r="A25" s="76" t="s">
        <v>20</v>
      </c>
      <c r="B25" s="119"/>
      <c r="C25" s="120"/>
      <c r="D25" s="120"/>
      <c r="E25" s="120"/>
      <c r="F25" s="120"/>
      <c r="G25" s="120"/>
      <c r="H25" s="52">
        <f t="shared" si="0"/>
        <v>0</v>
      </c>
      <c r="I25" s="52">
        <f t="shared" si="1"/>
        <v>0</v>
      </c>
      <c r="J25" s="53">
        <f aca="true" t="shared" si="3" ref="J25:J88">D25*R25</f>
        <v>0</v>
      </c>
      <c r="K25" s="54">
        <f aca="true" t="shared" si="4" ref="K25:K88">C25*28.3495</f>
        <v>0</v>
      </c>
      <c r="L25" s="55">
        <f aca="true" t="shared" si="5" ref="L25:L88">E25*100</f>
        <v>0</v>
      </c>
      <c r="M25" s="55">
        <f aca="true" t="shared" si="6" ref="M25:M88">F25*300</f>
        <v>0</v>
      </c>
      <c r="N25" s="55">
        <f aca="true" t="shared" si="7" ref="N25:N88">G25*120</f>
        <v>0</v>
      </c>
      <c r="O25" s="53">
        <f aca="true" t="shared" si="8" ref="O25:O88">B25+SUM(J25:N25)</f>
        <v>0</v>
      </c>
      <c r="P25" s="54">
        <f aca="true" t="shared" si="9" ref="P25:P88">S25*O25</f>
        <v>0</v>
      </c>
      <c r="Q25" s="54">
        <f aca="true" t="shared" si="10" ref="Q25:Q88">P25*U25</f>
        <v>0</v>
      </c>
      <c r="S25" s="56">
        <f>0.74/100</f>
        <v>0.0074</v>
      </c>
      <c r="T25" s="57">
        <f t="shared" si="2"/>
        <v>0.74</v>
      </c>
      <c r="U25" s="17">
        <v>0</v>
      </c>
      <c r="V25" s="113" t="s">
        <v>355</v>
      </c>
      <c r="W25" s="58" t="s">
        <v>168</v>
      </c>
      <c r="X25" s="17" t="s">
        <v>169</v>
      </c>
      <c r="AB25" s="56">
        <f>0.51/100</f>
        <v>0.0051</v>
      </c>
      <c r="AC25" s="74" t="s">
        <v>167</v>
      </c>
      <c r="AD25" s="58" t="s">
        <v>168</v>
      </c>
      <c r="AE25" s="58" t="s">
        <v>22</v>
      </c>
      <c r="AF25" s="56">
        <f>0.498/100</f>
        <v>0.00498</v>
      </c>
      <c r="AG25" s="58"/>
      <c r="AH25" s="114">
        <f>0.74/100</f>
        <v>0.0074</v>
      </c>
      <c r="AI25" s="58" t="s">
        <v>168</v>
      </c>
    </row>
    <row r="26" spans="1:35" s="17" customFormat="1" ht="31.5" customHeight="1" thickBot="1">
      <c r="A26" s="75" t="s">
        <v>21</v>
      </c>
      <c r="B26" s="119"/>
      <c r="C26" s="120"/>
      <c r="D26" s="120"/>
      <c r="E26" s="120"/>
      <c r="F26" s="120"/>
      <c r="G26" s="120"/>
      <c r="H26" s="52">
        <f t="shared" si="0"/>
        <v>0</v>
      </c>
      <c r="I26" s="52">
        <f t="shared" si="1"/>
        <v>0</v>
      </c>
      <c r="J26" s="53">
        <f t="shared" si="3"/>
        <v>0</v>
      </c>
      <c r="K26" s="54">
        <f t="shared" si="4"/>
        <v>0</v>
      </c>
      <c r="L26" s="55">
        <f t="shared" si="5"/>
        <v>0</v>
      </c>
      <c r="M26" s="55">
        <f t="shared" si="6"/>
        <v>0</v>
      </c>
      <c r="N26" s="55">
        <f t="shared" si="7"/>
        <v>0</v>
      </c>
      <c r="O26" s="53">
        <f t="shared" si="8"/>
        <v>0</v>
      </c>
      <c r="P26" s="54">
        <f t="shared" si="9"/>
        <v>0</v>
      </c>
      <c r="Q26" s="54">
        <f t="shared" si="10"/>
        <v>0</v>
      </c>
      <c r="R26" s="15">
        <v>200</v>
      </c>
      <c r="S26" s="56">
        <f>2.23/1000</f>
        <v>0.0022299999999999998</v>
      </c>
      <c r="T26" s="57">
        <f t="shared" si="2"/>
        <v>0.22299999999999998</v>
      </c>
      <c r="U26" s="15">
        <v>1</v>
      </c>
      <c r="V26" s="113" t="s">
        <v>358</v>
      </c>
      <c r="W26" s="58" t="s">
        <v>171</v>
      </c>
      <c r="AB26" s="56">
        <f>2.25/1000</f>
        <v>0.00225</v>
      </c>
      <c r="AC26" s="74" t="s">
        <v>170</v>
      </c>
      <c r="AD26" s="58" t="s">
        <v>171</v>
      </c>
      <c r="AE26" s="58" t="s">
        <v>23</v>
      </c>
      <c r="AF26" s="56">
        <f>1.86/1000</f>
        <v>0.00186</v>
      </c>
      <c r="AG26" s="58"/>
      <c r="AH26" s="113">
        <f>5.25/1000</f>
        <v>0.00525</v>
      </c>
      <c r="AI26" s="74" t="s">
        <v>340</v>
      </c>
    </row>
    <row r="27" spans="1:35" s="17" customFormat="1" ht="31.5" customHeight="1" thickBot="1">
      <c r="A27" s="75" t="s">
        <v>24</v>
      </c>
      <c r="B27" s="119"/>
      <c r="C27" s="120"/>
      <c r="D27" s="120"/>
      <c r="E27" s="120"/>
      <c r="F27" s="120"/>
      <c r="G27" s="120"/>
      <c r="H27" s="52">
        <f t="shared" si="0"/>
        <v>0</v>
      </c>
      <c r="I27" s="52">
        <f t="shared" si="1"/>
        <v>0</v>
      </c>
      <c r="J27" s="53">
        <f t="shared" si="3"/>
        <v>0</v>
      </c>
      <c r="K27" s="54">
        <f t="shared" si="4"/>
        <v>0</v>
      </c>
      <c r="L27" s="55">
        <f t="shared" si="5"/>
        <v>0</v>
      </c>
      <c r="M27" s="55">
        <f t="shared" si="6"/>
        <v>0</v>
      </c>
      <c r="N27" s="55">
        <f t="shared" si="7"/>
        <v>0</v>
      </c>
      <c r="O27" s="53">
        <f t="shared" si="8"/>
        <v>0</v>
      </c>
      <c r="P27" s="54">
        <f t="shared" si="9"/>
        <v>0</v>
      </c>
      <c r="Q27" s="54">
        <f t="shared" si="10"/>
        <v>0</v>
      </c>
      <c r="R27" s="15">
        <v>100</v>
      </c>
      <c r="S27" s="56">
        <f>0.333/100</f>
        <v>0.00333</v>
      </c>
      <c r="T27" s="57">
        <f t="shared" si="2"/>
        <v>0.333</v>
      </c>
      <c r="U27" s="15">
        <v>1</v>
      </c>
      <c r="V27" s="113" t="s">
        <v>359</v>
      </c>
      <c r="W27" s="58" t="s">
        <v>173</v>
      </c>
      <c r="AB27" s="56">
        <f>0.333/100</f>
        <v>0.00333</v>
      </c>
      <c r="AC27" s="74" t="s">
        <v>172</v>
      </c>
      <c r="AD27" s="58" t="s">
        <v>173</v>
      </c>
      <c r="AE27" s="58" t="s">
        <v>23</v>
      </c>
      <c r="AF27" s="56">
        <f>2/1000</f>
        <v>0.002</v>
      </c>
      <c r="AG27" s="58"/>
      <c r="AH27" s="113">
        <f>0.638/100</f>
        <v>0.00638</v>
      </c>
      <c r="AI27" s="74" t="s">
        <v>339</v>
      </c>
    </row>
    <row r="28" spans="1:35" s="17" customFormat="1" ht="31.5" customHeight="1" thickBot="1">
      <c r="A28" s="76" t="s">
        <v>25</v>
      </c>
      <c r="B28" s="119"/>
      <c r="C28" s="120"/>
      <c r="D28" s="120"/>
      <c r="E28" s="120"/>
      <c r="F28" s="120"/>
      <c r="G28" s="120"/>
      <c r="H28" s="52">
        <f t="shared" si="0"/>
        <v>0</v>
      </c>
      <c r="I28" s="52">
        <f t="shared" si="1"/>
        <v>0</v>
      </c>
      <c r="J28" s="53">
        <f t="shared" si="3"/>
        <v>0</v>
      </c>
      <c r="K28" s="54">
        <f t="shared" si="4"/>
        <v>0</v>
      </c>
      <c r="L28" s="55">
        <f t="shared" si="5"/>
        <v>0</v>
      </c>
      <c r="M28" s="55">
        <f t="shared" si="6"/>
        <v>0</v>
      </c>
      <c r="N28" s="55">
        <f t="shared" si="7"/>
        <v>0</v>
      </c>
      <c r="O28" s="53">
        <f t="shared" si="8"/>
        <v>0</v>
      </c>
      <c r="P28" s="54">
        <f t="shared" si="9"/>
        <v>0</v>
      </c>
      <c r="Q28" s="54">
        <f t="shared" si="10"/>
        <v>0</v>
      </c>
      <c r="R28" s="17">
        <v>30</v>
      </c>
      <c r="S28" s="56">
        <f>8.75/1000</f>
        <v>0.00875</v>
      </c>
      <c r="T28" s="57">
        <f t="shared" si="2"/>
        <v>0.8750000000000001</v>
      </c>
      <c r="U28" s="17">
        <v>0.75</v>
      </c>
      <c r="V28" s="113" t="s">
        <v>360</v>
      </c>
      <c r="W28" s="58" t="s">
        <v>174</v>
      </c>
      <c r="X28" s="17" t="s">
        <v>176</v>
      </c>
      <c r="AB28" s="56">
        <f>8.75/1000</f>
        <v>0.00875</v>
      </c>
      <c r="AC28" s="74" t="s">
        <v>175</v>
      </c>
      <c r="AD28" s="58" t="s">
        <v>174</v>
      </c>
      <c r="AE28" s="58" t="s">
        <v>19</v>
      </c>
      <c r="AF28" s="56">
        <f>0.625/100</f>
        <v>0.00625</v>
      </c>
      <c r="AG28" s="58"/>
      <c r="AH28" s="113">
        <f>4.25/400</f>
        <v>0.010625</v>
      </c>
      <c r="AI28" s="17" t="s">
        <v>341</v>
      </c>
    </row>
    <row r="29" spans="1:35" s="17" customFormat="1" ht="31.5" customHeight="1" thickBot="1">
      <c r="A29" s="76" t="s">
        <v>26</v>
      </c>
      <c r="B29" s="119"/>
      <c r="C29" s="120"/>
      <c r="D29" s="120"/>
      <c r="E29" s="120"/>
      <c r="F29" s="120"/>
      <c r="G29" s="120"/>
      <c r="H29" s="52">
        <f t="shared" si="0"/>
        <v>0</v>
      </c>
      <c r="I29" s="52">
        <f t="shared" si="1"/>
        <v>0</v>
      </c>
      <c r="J29" s="53">
        <f t="shared" si="3"/>
        <v>0</v>
      </c>
      <c r="K29" s="54">
        <f t="shared" si="4"/>
        <v>0</v>
      </c>
      <c r="L29" s="55">
        <f t="shared" si="5"/>
        <v>0</v>
      </c>
      <c r="M29" s="55">
        <f t="shared" si="6"/>
        <v>0</v>
      </c>
      <c r="N29" s="55">
        <f t="shared" si="7"/>
        <v>0</v>
      </c>
      <c r="O29" s="53">
        <f t="shared" si="8"/>
        <v>0</v>
      </c>
      <c r="P29" s="54">
        <f t="shared" si="9"/>
        <v>0</v>
      </c>
      <c r="Q29" s="54">
        <f t="shared" si="10"/>
        <v>0</v>
      </c>
      <c r="R29" s="17">
        <v>116</v>
      </c>
      <c r="S29" s="56">
        <f>2/116</f>
        <v>0.017241379310344827</v>
      </c>
      <c r="T29" s="57">
        <f t="shared" si="2"/>
        <v>1.7241379310344827</v>
      </c>
      <c r="U29" s="17">
        <v>0</v>
      </c>
      <c r="V29" s="113" t="s">
        <v>356</v>
      </c>
      <c r="W29" s="58" t="s">
        <v>342</v>
      </c>
      <c r="X29" s="17" t="s">
        <v>177</v>
      </c>
      <c r="Y29" s="17" t="s">
        <v>178</v>
      </c>
      <c r="AB29" s="56">
        <f>2/116</f>
        <v>0.017241379310344827</v>
      </c>
      <c r="AC29" s="74" t="s">
        <v>175</v>
      </c>
      <c r="AD29" s="58" t="s">
        <v>342</v>
      </c>
      <c r="AE29" s="58" t="s">
        <v>19</v>
      </c>
      <c r="AF29" s="56">
        <f>2/200</f>
        <v>0.01</v>
      </c>
      <c r="AG29" s="58"/>
      <c r="AH29" s="113">
        <f>(4.05/2)/116</f>
        <v>0.017456896551724138</v>
      </c>
      <c r="AI29" s="17" t="s">
        <v>343</v>
      </c>
    </row>
    <row r="30" spans="1:35" s="17" customFormat="1" ht="31.5" customHeight="1" thickBot="1">
      <c r="A30" s="76" t="s">
        <v>27</v>
      </c>
      <c r="B30" s="119"/>
      <c r="C30" s="120"/>
      <c r="D30" s="120"/>
      <c r="E30" s="120"/>
      <c r="F30" s="120"/>
      <c r="G30" s="120"/>
      <c r="H30" s="52">
        <f t="shared" si="0"/>
        <v>0</v>
      </c>
      <c r="I30" s="52">
        <f t="shared" si="1"/>
        <v>0</v>
      </c>
      <c r="J30" s="53">
        <f t="shared" si="3"/>
        <v>0</v>
      </c>
      <c r="K30" s="54">
        <f t="shared" si="4"/>
        <v>0</v>
      </c>
      <c r="L30" s="55">
        <f t="shared" si="5"/>
        <v>0</v>
      </c>
      <c r="M30" s="55">
        <f t="shared" si="6"/>
        <v>0</v>
      </c>
      <c r="N30" s="55">
        <f t="shared" si="7"/>
        <v>0</v>
      </c>
      <c r="O30" s="53">
        <f t="shared" si="8"/>
        <v>0</v>
      </c>
      <c r="P30" s="54">
        <f t="shared" si="9"/>
        <v>0</v>
      </c>
      <c r="Q30" s="54">
        <f t="shared" si="10"/>
        <v>0</v>
      </c>
      <c r="R30" s="17">
        <v>30</v>
      </c>
      <c r="S30" s="56">
        <f>8.7/1000</f>
        <v>0.0087</v>
      </c>
      <c r="T30" s="57">
        <f t="shared" si="2"/>
        <v>0.8699999999999999</v>
      </c>
      <c r="U30" s="17">
        <v>0</v>
      </c>
      <c r="V30" s="113" t="s">
        <v>356</v>
      </c>
      <c r="W30" s="58" t="s">
        <v>179</v>
      </c>
      <c r="AB30" s="56">
        <f>8.27/1000</f>
        <v>0.00827</v>
      </c>
      <c r="AC30" s="74" t="s">
        <v>159</v>
      </c>
      <c r="AD30" s="58" t="s">
        <v>179</v>
      </c>
      <c r="AE30" s="58" t="s">
        <v>19</v>
      </c>
      <c r="AF30" s="56">
        <f>8.7/1000</f>
        <v>0.0087</v>
      </c>
      <c r="AG30" s="58"/>
      <c r="AH30" s="113">
        <f>13.75/1000</f>
        <v>0.01375</v>
      </c>
      <c r="AI30" s="74" t="s">
        <v>180</v>
      </c>
    </row>
    <row r="31" spans="1:35" s="17" customFormat="1" ht="31.5" customHeight="1" thickBot="1">
      <c r="A31" s="76" t="s">
        <v>28</v>
      </c>
      <c r="B31" s="119"/>
      <c r="C31" s="120"/>
      <c r="D31" s="120"/>
      <c r="E31" s="120"/>
      <c r="F31" s="120"/>
      <c r="G31" s="120"/>
      <c r="H31" s="52">
        <f t="shared" si="0"/>
        <v>0</v>
      </c>
      <c r="I31" s="52">
        <f t="shared" si="1"/>
        <v>0</v>
      </c>
      <c r="J31" s="53">
        <f t="shared" si="3"/>
        <v>0</v>
      </c>
      <c r="K31" s="54">
        <f t="shared" si="4"/>
        <v>0</v>
      </c>
      <c r="L31" s="55">
        <f t="shared" si="5"/>
        <v>0</v>
      </c>
      <c r="M31" s="55">
        <f t="shared" si="6"/>
        <v>0</v>
      </c>
      <c r="N31" s="55">
        <f t="shared" si="7"/>
        <v>0</v>
      </c>
      <c r="O31" s="53">
        <f t="shared" si="8"/>
        <v>0</v>
      </c>
      <c r="P31" s="54">
        <f t="shared" si="9"/>
        <v>0</v>
      </c>
      <c r="Q31" s="54">
        <f t="shared" si="10"/>
        <v>0</v>
      </c>
      <c r="R31" s="17">
        <v>100</v>
      </c>
      <c r="S31" s="56">
        <f>0.95/100</f>
        <v>0.0095</v>
      </c>
      <c r="T31" s="57">
        <f t="shared" si="2"/>
        <v>0.95</v>
      </c>
      <c r="U31" s="17">
        <v>0.25</v>
      </c>
      <c r="V31" s="113" t="s">
        <v>361</v>
      </c>
      <c r="W31" s="58" t="s">
        <v>182</v>
      </c>
      <c r="AB31" s="56">
        <f>0.85/100</f>
        <v>0.0085</v>
      </c>
      <c r="AC31" s="74" t="s">
        <v>181</v>
      </c>
      <c r="AD31" s="58" t="s">
        <v>182</v>
      </c>
      <c r="AE31" s="58" t="s">
        <v>29</v>
      </c>
      <c r="AF31" s="56">
        <f>0.8/100</f>
        <v>0.008</v>
      </c>
      <c r="AG31" s="58"/>
      <c r="AH31" s="113">
        <f>1.6/100</f>
        <v>0.016</v>
      </c>
      <c r="AI31" s="74" t="s">
        <v>183</v>
      </c>
    </row>
    <row r="32" spans="1:36" s="17" customFormat="1" ht="31.5" customHeight="1" thickBot="1">
      <c r="A32" s="75" t="s">
        <v>30</v>
      </c>
      <c r="B32" s="119"/>
      <c r="C32" s="120"/>
      <c r="D32" s="120"/>
      <c r="E32" s="120"/>
      <c r="F32" s="120"/>
      <c r="G32" s="120"/>
      <c r="H32" s="52">
        <f t="shared" si="0"/>
        <v>0</v>
      </c>
      <c r="I32" s="52">
        <f t="shared" si="1"/>
        <v>0</v>
      </c>
      <c r="J32" s="53">
        <f t="shared" si="3"/>
        <v>0</v>
      </c>
      <c r="K32" s="54">
        <f t="shared" si="4"/>
        <v>0</v>
      </c>
      <c r="L32" s="55">
        <f t="shared" si="5"/>
        <v>0</v>
      </c>
      <c r="M32" s="55">
        <f t="shared" si="6"/>
        <v>0</v>
      </c>
      <c r="N32" s="55">
        <f t="shared" si="7"/>
        <v>0</v>
      </c>
      <c r="O32" s="53">
        <f t="shared" si="8"/>
        <v>0</v>
      </c>
      <c r="P32" s="54">
        <f t="shared" si="9"/>
        <v>0</v>
      </c>
      <c r="Q32" s="54">
        <f t="shared" si="10"/>
        <v>0</v>
      </c>
      <c r="R32" s="15">
        <v>100</v>
      </c>
      <c r="S32" s="56">
        <f>4/1000</f>
        <v>0.004</v>
      </c>
      <c r="T32" s="57">
        <f t="shared" si="2"/>
        <v>0.4</v>
      </c>
      <c r="U32" s="17">
        <v>0</v>
      </c>
      <c r="V32" s="113" t="s">
        <v>362</v>
      </c>
      <c r="W32" s="58" t="s">
        <v>363</v>
      </c>
      <c r="AB32" s="56">
        <f>2/500</f>
        <v>0.004</v>
      </c>
      <c r="AC32" s="74" t="s">
        <v>184</v>
      </c>
      <c r="AD32" s="58" t="s">
        <v>185</v>
      </c>
      <c r="AE32" s="58" t="s">
        <v>19</v>
      </c>
      <c r="AF32" s="56">
        <f>1.8/500</f>
        <v>0.0036</v>
      </c>
      <c r="AG32" s="58"/>
      <c r="AH32" s="113">
        <f>2.1/500</f>
        <v>0.004200000000000001</v>
      </c>
      <c r="AI32" s="74" t="s">
        <v>364</v>
      </c>
      <c r="AJ32" s="17" t="s">
        <v>365</v>
      </c>
    </row>
    <row r="33" spans="1:35" s="17" customFormat="1" ht="31.5" customHeight="1" thickBot="1">
      <c r="A33" s="75" t="s">
        <v>31</v>
      </c>
      <c r="B33" s="119"/>
      <c r="C33" s="120"/>
      <c r="D33" s="120"/>
      <c r="E33" s="120"/>
      <c r="F33" s="120"/>
      <c r="G33" s="120"/>
      <c r="H33" s="52">
        <f t="shared" si="0"/>
        <v>0</v>
      </c>
      <c r="I33" s="52">
        <f t="shared" si="1"/>
        <v>0</v>
      </c>
      <c r="J33" s="53">
        <f t="shared" si="3"/>
        <v>0</v>
      </c>
      <c r="K33" s="54">
        <f t="shared" si="4"/>
        <v>0</v>
      </c>
      <c r="L33" s="55">
        <f t="shared" si="5"/>
        <v>0</v>
      </c>
      <c r="M33" s="55">
        <f t="shared" si="6"/>
        <v>0</v>
      </c>
      <c r="N33" s="55">
        <f t="shared" si="7"/>
        <v>0</v>
      </c>
      <c r="O33" s="53">
        <f t="shared" si="8"/>
        <v>0</v>
      </c>
      <c r="P33" s="54">
        <f t="shared" si="9"/>
        <v>0</v>
      </c>
      <c r="Q33" s="54">
        <f t="shared" si="10"/>
        <v>0</v>
      </c>
      <c r="R33" s="15">
        <v>1</v>
      </c>
      <c r="S33" s="66">
        <f>11.34/1000</f>
        <v>0.01134</v>
      </c>
      <c r="T33" s="57">
        <f t="shared" si="2"/>
        <v>1.134</v>
      </c>
      <c r="U33" s="15">
        <v>0.6</v>
      </c>
      <c r="V33" s="113" t="s">
        <v>366</v>
      </c>
      <c r="W33" s="115" t="s">
        <v>187</v>
      </c>
      <c r="AB33" s="66">
        <f>13.34/1000</f>
        <v>0.01334</v>
      </c>
      <c r="AC33" s="74" t="s">
        <v>186</v>
      </c>
      <c r="AD33" s="58" t="s">
        <v>187</v>
      </c>
      <c r="AE33" s="58" t="s">
        <v>33</v>
      </c>
      <c r="AF33" s="56">
        <f>2/150</f>
        <v>0.013333333333333334</v>
      </c>
      <c r="AG33" s="58"/>
      <c r="AH33" s="113">
        <f>20/1000</f>
        <v>0.02</v>
      </c>
      <c r="AI33" s="74" t="s">
        <v>188</v>
      </c>
    </row>
    <row r="34" spans="1:35" s="17" customFormat="1" ht="31.5" customHeight="1" thickBot="1">
      <c r="A34" s="75" t="s">
        <v>34</v>
      </c>
      <c r="B34" s="121"/>
      <c r="C34" s="120"/>
      <c r="D34" s="120"/>
      <c r="E34" s="120"/>
      <c r="F34" s="120"/>
      <c r="G34" s="120"/>
      <c r="H34" s="52">
        <f t="shared" si="0"/>
        <v>0</v>
      </c>
      <c r="I34" s="52">
        <f t="shared" si="1"/>
        <v>0</v>
      </c>
      <c r="J34" s="53">
        <f t="shared" si="3"/>
        <v>0</v>
      </c>
      <c r="K34" s="54">
        <f t="shared" si="4"/>
        <v>0</v>
      </c>
      <c r="L34" s="55">
        <f t="shared" si="5"/>
        <v>0</v>
      </c>
      <c r="M34" s="55">
        <f t="shared" si="6"/>
        <v>0</v>
      </c>
      <c r="N34" s="55">
        <f t="shared" si="7"/>
        <v>0</v>
      </c>
      <c r="O34" s="53">
        <f t="shared" si="8"/>
        <v>0</v>
      </c>
      <c r="P34" s="54">
        <f t="shared" si="9"/>
        <v>0</v>
      </c>
      <c r="Q34" s="54">
        <f t="shared" si="10"/>
        <v>0</v>
      </c>
      <c r="R34" s="15">
        <v>4</v>
      </c>
      <c r="S34" s="56">
        <f>14.67/1000</f>
        <v>0.01467</v>
      </c>
      <c r="T34" s="57">
        <f t="shared" si="2"/>
        <v>1.467</v>
      </c>
      <c r="U34" s="15">
        <v>0.3</v>
      </c>
      <c r="V34" s="113" t="s">
        <v>367</v>
      </c>
      <c r="W34" s="58" t="s">
        <v>190</v>
      </c>
      <c r="X34" s="17" t="s">
        <v>191</v>
      </c>
      <c r="AB34" s="56">
        <f>13.4/1000</f>
        <v>0.0134</v>
      </c>
      <c r="AC34" s="74" t="s">
        <v>189</v>
      </c>
      <c r="AD34" s="58" t="s">
        <v>190</v>
      </c>
      <c r="AE34" s="58" t="s">
        <v>32</v>
      </c>
      <c r="AF34" s="56">
        <f>2.5/150</f>
        <v>0.016666666666666666</v>
      </c>
      <c r="AG34" s="58"/>
      <c r="AH34" s="113">
        <f>3.36/100</f>
        <v>0.0336</v>
      </c>
      <c r="AI34" s="74" t="s">
        <v>395</v>
      </c>
    </row>
    <row r="35" spans="1:35" s="17" customFormat="1" ht="31.5" customHeight="1" thickBot="1">
      <c r="A35" s="75" t="s">
        <v>35</v>
      </c>
      <c r="B35" s="119"/>
      <c r="C35" s="120"/>
      <c r="D35" s="120"/>
      <c r="E35" s="120"/>
      <c r="F35" s="120"/>
      <c r="G35" s="120"/>
      <c r="H35" s="52">
        <f t="shared" si="0"/>
        <v>0</v>
      </c>
      <c r="I35" s="52">
        <f t="shared" si="1"/>
        <v>0</v>
      </c>
      <c r="J35" s="53">
        <f t="shared" si="3"/>
        <v>0</v>
      </c>
      <c r="K35" s="54">
        <f t="shared" si="4"/>
        <v>0</v>
      </c>
      <c r="L35" s="55">
        <f t="shared" si="5"/>
        <v>0</v>
      </c>
      <c r="M35" s="55">
        <f t="shared" si="6"/>
        <v>0</v>
      </c>
      <c r="N35" s="55">
        <f t="shared" si="7"/>
        <v>0</v>
      </c>
      <c r="O35" s="53">
        <f t="shared" si="8"/>
        <v>0</v>
      </c>
      <c r="P35" s="54">
        <f t="shared" si="9"/>
        <v>0</v>
      </c>
      <c r="Q35" s="54">
        <f t="shared" si="10"/>
        <v>0</v>
      </c>
      <c r="R35" s="15">
        <v>1</v>
      </c>
      <c r="S35" s="17">
        <f>13.34/1000</f>
        <v>0.01334</v>
      </c>
      <c r="T35" s="57">
        <f t="shared" si="2"/>
        <v>1.3339999999999999</v>
      </c>
      <c r="U35" s="15">
        <v>0.9</v>
      </c>
      <c r="V35" s="113" t="s">
        <v>369</v>
      </c>
      <c r="W35" s="74" t="s">
        <v>368</v>
      </c>
      <c r="AB35" s="74">
        <f>2.3/125</f>
        <v>0.0184</v>
      </c>
      <c r="AC35" s="74" t="s">
        <v>193</v>
      </c>
      <c r="AD35" s="74" t="s">
        <v>192</v>
      </c>
      <c r="AE35" s="58" t="s">
        <v>29</v>
      </c>
      <c r="AF35" s="56">
        <f>1.75/150</f>
        <v>0.011666666666666667</v>
      </c>
      <c r="AG35" s="58"/>
      <c r="AH35" s="113">
        <f>2.3/125</f>
        <v>0.0184</v>
      </c>
      <c r="AI35" s="17" t="s">
        <v>192</v>
      </c>
    </row>
    <row r="36" spans="1:35" s="17" customFormat="1" ht="31.5" customHeight="1" thickBot="1">
      <c r="A36" s="75" t="s">
        <v>36</v>
      </c>
      <c r="B36" s="119"/>
      <c r="C36" s="120"/>
      <c r="D36" s="120"/>
      <c r="E36" s="120"/>
      <c r="F36" s="120"/>
      <c r="G36" s="120"/>
      <c r="H36" s="52">
        <f t="shared" si="0"/>
        <v>0</v>
      </c>
      <c r="I36" s="52">
        <f t="shared" si="1"/>
        <v>0</v>
      </c>
      <c r="J36" s="53">
        <f t="shared" si="3"/>
        <v>0</v>
      </c>
      <c r="K36" s="54">
        <f t="shared" si="4"/>
        <v>0</v>
      </c>
      <c r="L36" s="55">
        <f t="shared" si="5"/>
        <v>0</v>
      </c>
      <c r="M36" s="55">
        <f t="shared" si="6"/>
        <v>0</v>
      </c>
      <c r="N36" s="55">
        <f t="shared" si="7"/>
        <v>0</v>
      </c>
      <c r="O36" s="53">
        <f t="shared" si="8"/>
        <v>0</v>
      </c>
      <c r="P36" s="54">
        <f t="shared" si="9"/>
        <v>0</v>
      </c>
      <c r="Q36" s="54">
        <f t="shared" si="10"/>
        <v>0</v>
      </c>
      <c r="R36" s="15">
        <v>1</v>
      </c>
      <c r="S36" s="66">
        <f>11.34/1000</f>
        <v>0.01134</v>
      </c>
      <c r="T36" s="57">
        <f t="shared" si="2"/>
        <v>1.134</v>
      </c>
      <c r="U36" s="15">
        <v>0.25</v>
      </c>
      <c r="V36" s="113" t="s">
        <v>361</v>
      </c>
      <c r="W36" s="115" t="s">
        <v>187</v>
      </c>
      <c r="AB36" s="66">
        <f>13.34/1000</f>
        <v>0.01334</v>
      </c>
      <c r="AC36" s="74" t="s">
        <v>159</v>
      </c>
      <c r="AD36" s="58" t="s">
        <v>187</v>
      </c>
      <c r="AE36" s="58" t="s">
        <v>19</v>
      </c>
      <c r="AF36" s="56">
        <f>2/150</f>
        <v>0.013333333333333334</v>
      </c>
      <c r="AG36" s="58"/>
      <c r="AH36" s="113">
        <f>20/1000</f>
        <v>0.02</v>
      </c>
      <c r="AI36" s="74" t="s">
        <v>188</v>
      </c>
    </row>
    <row r="37" spans="1:35" s="17" customFormat="1" ht="31.5" customHeight="1" thickBot="1">
      <c r="A37" s="76" t="s">
        <v>37</v>
      </c>
      <c r="B37" s="119"/>
      <c r="C37" s="120"/>
      <c r="D37" s="120"/>
      <c r="E37" s="120"/>
      <c r="F37" s="120"/>
      <c r="G37" s="120"/>
      <c r="H37" s="52">
        <f t="shared" si="0"/>
        <v>0</v>
      </c>
      <c r="I37" s="52">
        <f t="shared" si="1"/>
        <v>0</v>
      </c>
      <c r="J37" s="53">
        <f t="shared" si="3"/>
        <v>0</v>
      </c>
      <c r="K37" s="54">
        <f t="shared" si="4"/>
        <v>0</v>
      </c>
      <c r="L37" s="55">
        <f t="shared" si="5"/>
        <v>0</v>
      </c>
      <c r="M37" s="55">
        <f t="shared" si="6"/>
        <v>0</v>
      </c>
      <c r="N37" s="55">
        <f t="shared" si="7"/>
        <v>0</v>
      </c>
      <c r="O37" s="53">
        <f t="shared" si="8"/>
        <v>0</v>
      </c>
      <c r="P37" s="54">
        <f t="shared" si="9"/>
        <v>0</v>
      </c>
      <c r="Q37" s="54">
        <f t="shared" si="10"/>
        <v>0</v>
      </c>
      <c r="R37" s="17">
        <v>1</v>
      </c>
      <c r="S37" s="56">
        <f>2.98/1000</f>
        <v>0.00298</v>
      </c>
      <c r="T37" s="57">
        <f t="shared" si="2"/>
        <v>0.298</v>
      </c>
      <c r="U37" s="17">
        <v>0.1</v>
      </c>
      <c r="V37" s="113" t="s">
        <v>371</v>
      </c>
      <c r="W37" s="58" t="s">
        <v>370</v>
      </c>
      <c r="AB37" s="56">
        <f>2.77/1000</f>
        <v>0.00277</v>
      </c>
      <c r="AC37" s="74" t="s">
        <v>194</v>
      </c>
      <c r="AD37" s="58" t="s">
        <v>195</v>
      </c>
      <c r="AE37" s="58" t="s">
        <v>38</v>
      </c>
      <c r="AF37" s="56">
        <f>2.47/1000</f>
        <v>0.0024700000000000004</v>
      </c>
      <c r="AG37" s="58"/>
      <c r="AH37" s="113">
        <f>5.25/500</f>
        <v>0.0105</v>
      </c>
      <c r="AI37" s="74" t="s">
        <v>396</v>
      </c>
    </row>
    <row r="38" spans="1:35" s="17" customFormat="1" ht="31.5" customHeight="1" thickBot="1">
      <c r="A38" s="77" t="s">
        <v>39</v>
      </c>
      <c r="B38" s="119"/>
      <c r="C38" s="120"/>
      <c r="D38" s="120"/>
      <c r="E38" s="120"/>
      <c r="F38" s="120"/>
      <c r="G38" s="120"/>
      <c r="H38" s="52">
        <f t="shared" si="0"/>
        <v>0</v>
      </c>
      <c r="I38" s="52">
        <f t="shared" si="1"/>
        <v>0</v>
      </c>
      <c r="J38" s="53">
        <f t="shared" si="3"/>
        <v>0</v>
      </c>
      <c r="K38" s="54">
        <f t="shared" si="4"/>
        <v>0</v>
      </c>
      <c r="L38" s="55">
        <f t="shared" si="5"/>
        <v>0</v>
      </c>
      <c r="M38" s="55">
        <f t="shared" si="6"/>
        <v>0</v>
      </c>
      <c r="N38" s="55">
        <f t="shared" si="7"/>
        <v>0</v>
      </c>
      <c r="O38" s="53">
        <f t="shared" si="8"/>
        <v>0</v>
      </c>
      <c r="P38" s="54">
        <f t="shared" si="9"/>
        <v>0</v>
      </c>
      <c r="Q38" s="54">
        <f t="shared" si="10"/>
        <v>0</v>
      </c>
      <c r="R38" s="61">
        <v>4</v>
      </c>
      <c r="S38" s="17">
        <f>12.67/1000</f>
        <v>0.01267</v>
      </c>
      <c r="T38" s="57">
        <f t="shared" si="2"/>
        <v>1.2670000000000001</v>
      </c>
      <c r="U38" s="17">
        <v>0.3</v>
      </c>
      <c r="V38" s="113" t="s">
        <v>372</v>
      </c>
      <c r="W38" s="58" t="s">
        <v>196</v>
      </c>
      <c r="AB38" s="74">
        <f>13.34/1000</f>
        <v>0.01334</v>
      </c>
      <c r="AC38" s="74" t="s">
        <v>161</v>
      </c>
      <c r="AD38" s="58" t="s">
        <v>196</v>
      </c>
      <c r="AE38" s="58" t="s">
        <v>40</v>
      </c>
      <c r="AF38" s="17">
        <f>13.34/1000</f>
        <v>0.01334</v>
      </c>
      <c r="AG38" s="58"/>
      <c r="AH38" s="113">
        <f>22.4/1000</f>
        <v>0.0224</v>
      </c>
      <c r="AI38" s="74" t="s">
        <v>197</v>
      </c>
    </row>
    <row r="39" spans="1:35" s="17" customFormat="1" ht="31.5" customHeight="1" thickBot="1">
      <c r="A39" s="76" t="s">
        <v>41</v>
      </c>
      <c r="B39" s="121"/>
      <c r="C39" s="120"/>
      <c r="D39" s="120"/>
      <c r="E39" s="120"/>
      <c r="F39" s="120"/>
      <c r="G39" s="120"/>
      <c r="H39" s="52">
        <f t="shared" si="0"/>
        <v>0</v>
      </c>
      <c r="I39" s="52">
        <f t="shared" si="1"/>
        <v>0</v>
      </c>
      <c r="J39" s="53">
        <f t="shared" si="3"/>
        <v>0</v>
      </c>
      <c r="K39" s="54">
        <f t="shared" si="4"/>
        <v>0</v>
      </c>
      <c r="L39" s="55">
        <f t="shared" si="5"/>
        <v>0</v>
      </c>
      <c r="M39" s="55">
        <f t="shared" si="6"/>
        <v>0</v>
      </c>
      <c r="N39" s="55">
        <f t="shared" si="7"/>
        <v>0</v>
      </c>
      <c r="O39" s="53">
        <f t="shared" si="8"/>
        <v>0</v>
      </c>
      <c r="P39" s="54">
        <f t="shared" si="9"/>
        <v>0</v>
      </c>
      <c r="Q39" s="54">
        <f t="shared" si="10"/>
        <v>0</v>
      </c>
      <c r="R39" s="17">
        <v>15</v>
      </c>
      <c r="S39" s="56">
        <f>4.5/1000</f>
        <v>0.0045</v>
      </c>
      <c r="T39" s="57">
        <f t="shared" si="2"/>
        <v>0.44999999999999996</v>
      </c>
      <c r="U39" s="17">
        <v>0.33</v>
      </c>
      <c r="V39" s="113" t="s">
        <v>373</v>
      </c>
      <c r="W39" s="58" t="s">
        <v>199</v>
      </c>
      <c r="AB39" s="56">
        <f>4.5/1000</f>
        <v>0.0045</v>
      </c>
      <c r="AC39" s="74" t="s">
        <v>198</v>
      </c>
      <c r="AD39" s="58" t="s">
        <v>199</v>
      </c>
      <c r="AE39" s="58" t="s">
        <v>19</v>
      </c>
      <c r="AF39" s="56">
        <f>4.3/1000</f>
        <v>0.0043</v>
      </c>
      <c r="AG39" s="58"/>
      <c r="AH39" s="113">
        <f>3.5/750</f>
        <v>0.004666666666666667</v>
      </c>
      <c r="AI39" s="74" t="s">
        <v>397</v>
      </c>
    </row>
    <row r="40" spans="1:35" s="17" customFormat="1" ht="31.5" customHeight="1" thickBot="1">
      <c r="A40" s="76" t="s">
        <v>42</v>
      </c>
      <c r="B40" s="119"/>
      <c r="C40" s="120"/>
      <c r="D40" s="120"/>
      <c r="E40" s="120"/>
      <c r="F40" s="120"/>
      <c r="G40" s="120"/>
      <c r="H40" s="52">
        <f t="shared" si="0"/>
        <v>0</v>
      </c>
      <c r="I40" s="52">
        <f t="shared" si="1"/>
        <v>0</v>
      </c>
      <c r="J40" s="53">
        <f t="shared" si="3"/>
        <v>0</v>
      </c>
      <c r="K40" s="54">
        <f t="shared" si="4"/>
        <v>0</v>
      </c>
      <c r="L40" s="55">
        <f t="shared" si="5"/>
        <v>0</v>
      </c>
      <c r="M40" s="55">
        <f t="shared" si="6"/>
        <v>0</v>
      </c>
      <c r="N40" s="55">
        <f t="shared" si="7"/>
        <v>0</v>
      </c>
      <c r="O40" s="53">
        <f t="shared" si="8"/>
        <v>0</v>
      </c>
      <c r="P40" s="54">
        <f t="shared" si="9"/>
        <v>0</v>
      </c>
      <c r="Q40" s="54">
        <f t="shared" si="10"/>
        <v>0</v>
      </c>
      <c r="R40" s="17">
        <v>400</v>
      </c>
      <c r="S40" s="56">
        <f>2.5/1000</f>
        <v>0.0025</v>
      </c>
      <c r="T40" s="57">
        <f t="shared" si="2"/>
        <v>0.25</v>
      </c>
      <c r="U40" s="17">
        <v>0</v>
      </c>
      <c r="V40" s="113" t="s">
        <v>374</v>
      </c>
      <c r="W40" s="58" t="s">
        <v>201</v>
      </c>
      <c r="X40" s="17" t="s">
        <v>202</v>
      </c>
      <c r="AB40" s="56">
        <f>1.89/1000</f>
        <v>0.00189</v>
      </c>
      <c r="AC40" s="74" t="s">
        <v>200</v>
      </c>
      <c r="AD40" s="58" t="s">
        <v>201</v>
      </c>
      <c r="AE40" s="58" t="s">
        <v>19</v>
      </c>
      <c r="AF40" s="56">
        <f>1.55/1000</f>
        <v>0.00155</v>
      </c>
      <c r="AG40" s="58"/>
      <c r="AH40" s="113">
        <f>4.72/1000</f>
        <v>0.004719999999999999</v>
      </c>
      <c r="AI40" s="58" t="s">
        <v>203</v>
      </c>
    </row>
    <row r="41" spans="1:35" s="17" customFormat="1" ht="31.5" customHeight="1" thickBot="1">
      <c r="A41" s="76" t="s">
        <v>43</v>
      </c>
      <c r="B41" s="121"/>
      <c r="C41" s="120"/>
      <c r="D41" s="120"/>
      <c r="E41" s="120"/>
      <c r="F41" s="120"/>
      <c r="G41" s="120"/>
      <c r="H41" s="52">
        <f t="shared" si="0"/>
        <v>0</v>
      </c>
      <c r="I41" s="52">
        <f t="shared" si="1"/>
        <v>0</v>
      </c>
      <c r="J41" s="53">
        <f t="shared" si="3"/>
        <v>0</v>
      </c>
      <c r="K41" s="54">
        <f t="shared" si="4"/>
        <v>0</v>
      </c>
      <c r="L41" s="55">
        <f t="shared" si="5"/>
        <v>0</v>
      </c>
      <c r="M41" s="55">
        <f t="shared" si="6"/>
        <v>0</v>
      </c>
      <c r="N41" s="55">
        <f t="shared" si="7"/>
        <v>0</v>
      </c>
      <c r="O41" s="53">
        <f t="shared" si="8"/>
        <v>0</v>
      </c>
      <c r="P41" s="54">
        <f t="shared" si="9"/>
        <v>0</v>
      </c>
      <c r="Q41" s="54">
        <f t="shared" si="10"/>
        <v>0</v>
      </c>
      <c r="R41" s="17">
        <v>30</v>
      </c>
      <c r="S41" s="56">
        <f>8.67/1000</f>
        <v>0.00867</v>
      </c>
      <c r="T41" s="57">
        <f t="shared" si="2"/>
        <v>0.8670000000000001</v>
      </c>
      <c r="U41" s="17">
        <v>0</v>
      </c>
      <c r="V41" s="113" t="s">
        <v>356</v>
      </c>
      <c r="W41" s="58" t="s">
        <v>204</v>
      </c>
      <c r="AB41" s="56">
        <f>8.67/1000</f>
        <v>0.00867</v>
      </c>
      <c r="AC41" s="74" t="s">
        <v>159</v>
      </c>
      <c r="AD41" s="58" t="s">
        <v>204</v>
      </c>
      <c r="AE41" s="58" t="s">
        <v>19</v>
      </c>
      <c r="AF41" s="56">
        <f>10/1000</f>
        <v>0.01</v>
      </c>
      <c r="AG41" s="58"/>
      <c r="AH41" s="113">
        <f>13.25/1000</f>
        <v>0.01325</v>
      </c>
      <c r="AI41" s="58" t="s">
        <v>205</v>
      </c>
    </row>
    <row r="42" spans="1:35" s="17" customFormat="1" ht="31.5" customHeight="1" thickBot="1">
      <c r="A42" s="76" t="s">
        <v>44</v>
      </c>
      <c r="B42" s="119"/>
      <c r="C42" s="120"/>
      <c r="D42" s="120"/>
      <c r="E42" s="120"/>
      <c r="F42" s="120"/>
      <c r="G42" s="120"/>
      <c r="H42" s="52">
        <f t="shared" si="0"/>
        <v>0</v>
      </c>
      <c r="I42" s="52">
        <f t="shared" si="1"/>
        <v>0</v>
      </c>
      <c r="J42" s="53">
        <f t="shared" si="3"/>
        <v>0</v>
      </c>
      <c r="K42" s="54">
        <f t="shared" si="4"/>
        <v>0</v>
      </c>
      <c r="L42" s="55">
        <f t="shared" si="5"/>
        <v>0</v>
      </c>
      <c r="M42" s="55">
        <f t="shared" si="6"/>
        <v>0</v>
      </c>
      <c r="N42" s="55">
        <f t="shared" si="7"/>
        <v>0</v>
      </c>
      <c r="O42" s="53">
        <f t="shared" si="8"/>
        <v>0</v>
      </c>
      <c r="P42" s="54">
        <f t="shared" si="9"/>
        <v>0</v>
      </c>
      <c r="Q42" s="54">
        <f t="shared" si="10"/>
        <v>0</v>
      </c>
      <c r="R42" s="15">
        <v>10</v>
      </c>
      <c r="S42" s="17">
        <f>1.2/100</f>
        <v>0.012</v>
      </c>
      <c r="T42" s="57">
        <f t="shared" si="2"/>
        <v>1.2</v>
      </c>
      <c r="U42" s="17">
        <v>0</v>
      </c>
      <c r="V42" s="113" t="s">
        <v>356</v>
      </c>
      <c r="W42" s="58" t="s">
        <v>206</v>
      </c>
      <c r="X42" s="17" t="s">
        <v>191</v>
      </c>
      <c r="AB42" s="74">
        <f>1.1/1000</f>
        <v>0.0011</v>
      </c>
      <c r="AC42" s="74" t="s">
        <v>159</v>
      </c>
      <c r="AD42" s="58" t="s">
        <v>206</v>
      </c>
      <c r="AE42" s="58" t="s">
        <v>19</v>
      </c>
      <c r="AF42" s="17">
        <f>2/1000</f>
        <v>0.002</v>
      </c>
      <c r="AG42" s="58"/>
      <c r="AH42" s="113">
        <f>2.75/500</f>
        <v>0.0055</v>
      </c>
      <c r="AI42" s="58" t="s">
        <v>207</v>
      </c>
    </row>
    <row r="43" spans="1:35" s="17" customFormat="1" ht="31.5" customHeight="1" thickBot="1">
      <c r="A43" s="76" t="s">
        <v>45</v>
      </c>
      <c r="B43" s="119"/>
      <c r="C43" s="120"/>
      <c r="D43" s="120"/>
      <c r="E43" s="120"/>
      <c r="F43" s="120"/>
      <c r="G43" s="120"/>
      <c r="H43" s="52">
        <f t="shared" si="0"/>
        <v>0</v>
      </c>
      <c r="I43" s="52">
        <f t="shared" si="1"/>
        <v>0</v>
      </c>
      <c r="J43" s="53">
        <f t="shared" si="3"/>
        <v>0</v>
      </c>
      <c r="K43" s="54">
        <f t="shared" si="4"/>
        <v>0</v>
      </c>
      <c r="L43" s="55">
        <f t="shared" si="5"/>
        <v>0</v>
      </c>
      <c r="M43" s="55">
        <f t="shared" si="6"/>
        <v>0</v>
      </c>
      <c r="N43" s="55">
        <f t="shared" si="7"/>
        <v>0</v>
      </c>
      <c r="O43" s="53">
        <f t="shared" si="8"/>
        <v>0</v>
      </c>
      <c r="P43" s="54">
        <f t="shared" si="9"/>
        <v>0</v>
      </c>
      <c r="Q43" s="54">
        <f t="shared" si="10"/>
        <v>0</v>
      </c>
      <c r="R43" s="17">
        <v>5</v>
      </c>
      <c r="S43" s="74">
        <f>2.65/400</f>
        <v>0.006625</v>
      </c>
      <c r="T43" s="57">
        <f>S43*100</f>
        <v>0.6625</v>
      </c>
      <c r="U43" s="15">
        <v>0.5</v>
      </c>
      <c r="V43" s="113" t="s">
        <v>401</v>
      </c>
      <c r="W43" s="58" t="s">
        <v>208</v>
      </c>
      <c r="X43" s="74"/>
      <c r="Y43" s="74"/>
      <c r="Z43" s="74"/>
      <c r="AA43" s="74"/>
      <c r="AB43" s="74">
        <f>2.65/400</f>
        <v>0.006625</v>
      </c>
      <c r="AC43" s="74" t="s">
        <v>193</v>
      </c>
      <c r="AD43" s="58" t="s">
        <v>208</v>
      </c>
      <c r="AE43" s="58" t="s">
        <v>64</v>
      </c>
      <c r="AF43" s="74">
        <v>0.004</v>
      </c>
      <c r="AG43" s="58"/>
      <c r="AH43" s="113">
        <f>2.65/400</f>
        <v>0.006625</v>
      </c>
      <c r="AI43" s="70" t="s">
        <v>208</v>
      </c>
    </row>
    <row r="44" spans="1:35" s="17" customFormat="1" ht="31.5" customHeight="1" thickBot="1">
      <c r="A44" s="76" t="s">
        <v>46</v>
      </c>
      <c r="B44" s="121"/>
      <c r="C44" s="120"/>
      <c r="D44" s="120"/>
      <c r="E44" s="120"/>
      <c r="F44" s="120"/>
      <c r="G44" s="120"/>
      <c r="H44" s="52">
        <f t="shared" si="0"/>
        <v>0</v>
      </c>
      <c r="I44" s="52">
        <f t="shared" si="1"/>
        <v>0</v>
      </c>
      <c r="J44" s="53">
        <f t="shared" si="3"/>
        <v>0</v>
      </c>
      <c r="K44" s="54">
        <f t="shared" si="4"/>
        <v>0</v>
      </c>
      <c r="L44" s="55">
        <f t="shared" si="5"/>
        <v>0</v>
      </c>
      <c r="M44" s="55">
        <f t="shared" si="6"/>
        <v>0</v>
      </c>
      <c r="N44" s="55">
        <f t="shared" si="7"/>
        <v>0</v>
      </c>
      <c r="O44" s="53">
        <f t="shared" si="8"/>
        <v>0</v>
      </c>
      <c r="P44" s="54">
        <f t="shared" si="9"/>
        <v>0</v>
      </c>
      <c r="Q44" s="54">
        <f t="shared" si="10"/>
        <v>0</v>
      </c>
      <c r="R44" s="17">
        <v>200</v>
      </c>
      <c r="S44" s="17">
        <f>0.9/200</f>
        <v>0.0045000000000000005</v>
      </c>
      <c r="T44" s="57">
        <f t="shared" si="2"/>
        <v>0.45000000000000007</v>
      </c>
      <c r="U44" s="17">
        <v>0</v>
      </c>
      <c r="V44" s="113" t="s">
        <v>375</v>
      </c>
      <c r="W44" s="58" t="s">
        <v>210</v>
      </c>
      <c r="AB44" s="74">
        <f>0.85/200</f>
        <v>0.00425</v>
      </c>
      <c r="AC44" s="74" t="s">
        <v>209</v>
      </c>
      <c r="AD44" s="58" t="s">
        <v>210</v>
      </c>
      <c r="AE44" s="58" t="s">
        <v>19</v>
      </c>
      <c r="AF44" s="17">
        <f>0.85/200</f>
        <v>0.00425</v>
      </c>
      <c r="AG44" s="58"/>
      <c r="AH44" s="113">
        <f>1.6/200</f>
        <v>0.008</v>
      </c>
      <c r="AI44" s="58" t="s">
        <v>211</v>
      </c>
    </row>
    <row r="45" spans="1:35" s="17" customFormat="1" ht="31.5" customHeight="1" thickBot="1">
      <c r="A45" s="76" t="s">
        <v>47</v>
      </c>
      <c r="B45" s="119"/>
      <c r="C45" s="120"/>
      <c r="D45" s="120"/>
      <c r="E45" s="120"/>
      <c r="F45" s="120"/>
      <c r="G45" s="120"/>
      <c r="H45" s="52">
        <f t="shared" si="0"/>
        <v>0</v>
      </c>
      <c r="I45" s="52">
        <f t="shared" si="1"/>
        <v>0</v>
      </c>
      <c r="J45" s="53">
        <f t="shared" si="3"/>
        <v>0</v>
      </c>
      <c r="K45" s="54">
        <f t="shared" si="4"/>
        <v>0</v>
      </c>
      <c r="L45" s="55">
        <f t="shared" si="5"/>
        <v>0</v>
      </c>
      <c r="M45" s="55">
        <f t="shared" si="6"/>
        <v>0</v>
      </c>
      <c r="N45" s="55">
        <f t="shared" si="7"/>
        <v>0</v>
      </c>
      <c r="O45" s="53">
        <f t="shared" si="8"/>
        <v>0</v>
      </c>
      <c r="P45" s="54">
        <f t="shared" si="9"/>
        <v>0</v>
      </c>
      <c r="Q45" s="54">
        <f t="shared" si="10"/>
        <v>0</v>
      </c>
      <c r="R45" s="15">
        <v>5</v>
      </c>
      <c r="S45" s="17">
        <f>17/1000</f>
        <v>0.017</v>
      </c>
      <c r="T45" s="57">
        <f t="shared" si="2"/>
        <v>1.7000000000000002</v>
      </c>
      <c r="U45" s="17">
        <v>0.25</v>
      </c>
      <c r="V45" s="113" t="s">
        <v>356</v>
      </c>
      <c r="W45" s="115" t="s">
        <v>212</v>
      </c>
      <c r="AB45" s="74">
        <f>13.5/1000</f>
        <v>0.0135</v>
      </c>
      <c r="AC45" s="74" t="s">
        <v>159</v>
      </c>
      <c r="AD45" s="67" t="s">
        <v>212</v>
      </c>
      <c r="AE45" s="58" t="s">
        <v>19</v>
      </c>
      <c r="AF45" s="17">
        <f>10/1000</f>
        <v>0.01</v>
      </c>
      <c r="AG45" s="58"/>
      <c r="AH45" s="113">
        <f>4/100</f>
        <v>0.04</v>
      </c>
      <c r="AI45" s="58" t="s">
        <v>402</v>
      </c>
    </row>
    <row r="46" spans="1:35" s="17" customFormat="1" ht="31.5" customHeight="1" thickBot="1">
      <c r="A46" s="75" t="s">
        <v>48</v>
      </c>
      <c r="B46" s="119"/>
      <c r="C46" s="120"/>
      <c r="D46" s="120"/>
      <c r="E46" s="120"/>
      <c r="F46" s="120"/>
      <c r="G46" s="120"/>
      <c r="H46" s="52">
        <f t="shared" si="0"/>
        <v>0</v>
      </c>
      <c r="I46" s="52">
        <f t="shared" si="1"/>
        <v>0</v>
      </c>
      <c r="J46" s="53">
        <f t="shared" si="3"/>
        <v>0</v>
      </c>
      <c r="K46" s="54">
        <f t="shared" si="4"/>
        <v>0</v>
      </c>
      <c r="L46" s="55">
        <f t="shared" si="5"/>
        <v>0</v>
      </c>
      <c r="M46" s="55">
        <f t="shared" si="6"/>
        <v>0</v>
      </c>
      <c r="N46" s="55">
        <f t="shared" si="7"/>
        <v>0</v>
      </c>
      <c r="O46" s="53">
        <f t="shared" si="8"/>
        <v>0</v>
      </c>
      <c r="P46" s="54">
        <f t="shared" si="9"/>
        <v>0</v>
      </c>
      <c r="Q46" s="54">
        <f t="shared" si="10"/>
        <v>0</v>
      </c>
      <c r="R46" s="17">
        <v>60</v>
      </c>
      <c r="S46" s="17">
        <f>0.6/1000</f>
        <v>0.0006</v>
      </c>
      <c r="T46" s="57">
        <f t="shared" si="2"/>
        <v>0.06</v>
      </c>
      <c r="U46" s="17">
        <v>0</v>
      </c>
      <c r="V46" s="113" t="s">
        <v>356</v>
      </c>
      <c r="W46" s="58" t="s">
        <v>376</v>
      </c>
      <c r="AB46" s="74">
        <f>0.6/1000</f>
        <v>0.0006</v>
      </c>
      <c r="AC46" s="74" t="s">
        <v>159</v>
      </c>
      <c r="AD46" s="58" t="s">
        <v>213</v>
      </c>
      <c r="AE46" s="58" t="s">
        <v>19</v>
      </c>
      <c r="AF46" s="17">
        <f>0.75/1000</f>
        <v>0.00075</v>
      </c>
      <c r="AG46" s="58"/>
      <c r="AH46" s="113">
        <f>1.8/1000</f>
        <v>0.0018</v>
      </c>
      <c r="AI46" s="58" t="s">
        <v>214</v>
      </c>
    </row>
    <row r="47" spans="1:35" s="17" customFormat="1" ht="31.5" customHeight="1" thickBot="1">
      <c r="A47" s="76" t="s">
        <v>49</v>
      </c>
      <c r="B47" s="119"/>
      <c r="C47" s="120"/>
      <c r="D47" s="120"/>
      <c r="E47" s="120"/>
      <c r="F47" s="120"/>
      <c r="G47" s="120"/>
      <c r="H47" s="52">
        <f t="shared" si="0"/>
        <v>0</v>
      </c>
      <c r="I47" s="52">
        <f t="shared" si="1"/>
        <v>0</v>
      </c>
      <c r="J47" s="53">
        <f t="shared" si="3"/>
        <v>0</v>
      </c>
      <c r="K47" s="54">
        <f t="shared" si="4"/>
        <v>0</v>
      </c>
      <c r="L47" s="55">
        <f t="shared" si="5"/>
        <v>0</v>
      </c>
      <c r="M47" s="55">
        <f t="shared" si="6"/>
        <v>0</v>
      </c>
      <c r="N47" s="55">
        <f t="shared" si="7"/>
        <v>0</v>
      </c>
      <c r="O47" s="53">
        <f t="shared" si="8"/>
        <v>0</v>
      </c>
      <c r="P47" s="54">
        <f t="shared" si="9"/>
        <v>0</v>
      </c>
      <c r="Q47" s="54">
        <f t="shared" si="10"/>
        <v>0</v>
      </c>
      <c r="R47" s="17">
        <v>600</v>
      </c>
      <c r="S47" s="17">
        <f>1.6/1000</f>
        <v>0.0016</v>
      </c>
      <c r="T47" s="57">
        <f t="shared" si="2"/>
        <v>0.16</v>
      </c>
      <c r="U47" s="17">
        <v>0</v>
      </c>
      <c r="V47" s="113" t="s">
        <v>356</v>
      </c>
      <c r="W47" s="58" t="s">
        <v>215</v>
      </c>
      <c r="AB47" s="74">
        <f>1.6/1000</f>
        <v>0.0016</v>
      </c>
      <c r="AC47" s="74" t="s">
        <v>159</v>
      </c>
      <c r="AD47" s="58" t="s">
        <v>215</v>
      </c>
      <c r="AE47" s="58" t="s">
        <v>19</v>
      </c>
      <c r="AF47" s="17">
        <v>0.0016</v>
      </c>
      <c r="AG47" s="58"/>
      <c r="AH47" s="113">
        <f>3.1/600</f>
        <v>0.005166666666666667</v>
      </c>
      <c r="AI47" s="58" t="s">
        <v>344</v>
      </c>
    </row>
    <row r="48" spans="1:35" s="17" customFormat="1" ht="31.5" customHeight="1" thickBot="1">
      <c r="A48" s="76" t="s">
        <v>50</v>
      </c>
      <c r="B48" s="119"/>
      <c r="C48" s="120"/>
      <c r="D48" s="120"/>
      <c r="E48" s="120"/>
      <c r="F48" s="120"/>
      <c r="G48" s="120"/>
      <c r="H48" s="52">
        <f t="shared" si="0"/>
        <v>0</v>
      </c>
      <c r="I48" s="52">
        <f t="shared" si="1"/>
        <v>0</v>
      </c>
      <c r="J48" s="53">
        <f t="shared" si="3"/>
        <v>0</v>
      </c>
      <c r="K48" s="54">
        <f t="shared" si="4"/>
        <v>0</v>
      </c>
      <c r="L48" s="55">
        <f t="shared" si="5"/>
        <v>0</v>
      </c>
      <c r="M48" s="55">
        <f t="shared" si="6"/>
        <v>0</v>
      </c>
      <c r="N48" s="55">
        <f t="shared" si="7"/>
        <v>0</v>
      </c>
      <c r="O48" s="53">
        <f t="shared" si="8"/>
        <v>0</v>
      </c>
      <c r="P48" s="54">
        <f t="shared" si="9"/>
        <v>0</v>
      </c>
      <c r="Q48" s="54">
        <f t="shared" si="10"/>
        <v>0</v>
      </c>
      <c r="R48" s="17">
        <v>450</v>
      </c>
      <c r="S48" s="17">
        <f>0.65/450</f>
        <v>0.0014444444444444446</v>
      </c>
      <c r="T48" s="57">
        <f t="shared" si="2"/>
        <v>0.14444444444444446</v>
      </c>
      <c r="U48" s="17">
        <v>0</v>
      </c>
      <c r="V48" s="113" t="s">
        <v>373</v>
      </c>
      <c r="W48" s="58" t="s">
        <v>216</v>
      </c>
      <c r="AB48" s="74">
        <f>0.7/450</f>
        <v>0.0015555555555555555</v>
      </c>
      <c r="AC48" s="74" t="s">
        <v>198</v>
      </c>
      <c r="AD48" s="58" t="s">
        <v>216</v>
      </c>
      <c r="AE48" s="58" t="s">
        <v>29</v>
      </c>
      <c r="AF48" s="17">
        <f>0.6/450</f>
        <v>0.0013333333333333333</v>
      </c>
      <c r="AG48" s="58"/>
      <c r="AH48" s="113">
        <f>1.5/450</f>
        <v>0.0033333333333333335</v>
      </c>
      <c r="AI48" s="58" t="s">
        <v>217</v>
      </c>
    </row>
    <row r="49" spans="1:35" s="17" customFormat="1" ht="31.5" customHeight="1" thickBot="1">
      <c r="A49" s="76" t="s">
        <v>51</v>
      </c>
      <c r="B49" s="119"/>
      <c r="C49" s="120"/>
      <c r="D49" s="120"/>
      <c r="E49" s="120"/>
      <c r="F49" s="120"/>
      <c r="G49" s="120"/>
      <c r="H49" s="52">
        <f t="shared" si="0"/>
        <v>0</v>
      </c>
      <c r="I49" s="52">
        <f t="shared" si="1"/>
        <v>0</v>
      </c>
      <c r="J49" s="53">
        <f t="shared" si="3"/>
        <v>0</v>
      </c>
      <c r="K49" s="54">
        <f t="shared" si="4"/>
        <v>0</v>
      </c>
      <c r="L49" s="55">
        <f t="shared" si="5"/>
        <v>0</v>
      </c>
      <c r="M49" s="55">
        <f t="shared" si="6"/>
        <v>0</v>
      </c>
      <c r="N49" s="55">
        <f t="shared" si="7"/>
        <v>0</v>
      </c>
      <c r="O49" s="53">
        <f t="shared" si="8"/>
        <v>0</v>
      </c>
      <c r="P49" s="54">
        <f t="shared" si="9"/>
        <v>0</v>
      </c>
      <c r="Q49" s="54">
        <f t="shared" si="10"/>
        <v>0</v>
      </c>
      <c r="R49" s="15">
        <v>1</v>
      </c>
      <c r="S49" s="17">
        <f>9.75/1000</f>
        <v>0.00975</v>
      </c>
      <c r="T49" s="57">
        <f t="shared" si="2"/>
        <v>0.975</v>
      </c>
      <c r="U49" s="17">
        <v>0</v>
      </c>
      <c r="V49" s="113" t="s">
        <v>377</v>
      </c>
      <c r="W49" s="58" t="s">
        <v>218</v>
      </c>
      <c r="AB49" s="74">
        <f>8.75/1000</f>
        <v>0.00875</v>
      </c>
      <c r="AC49" s="74" t="s">
        <v>159</v>
      </c>
      <c r="AD49" s="58" t="s">
        <v>218</v>
      </c>
      <c r="AE49" s="58" t="s">
        <v>19</v>
      </c>
      <c r="AF49" s="17">
        <v>0.0075</v>
      </c>
      <c r="AG49" s="58"/>
      <c r="AH49" s="113">
        <f>3.05/250</f>
        <v>0.012199999999999999</v>
      </c>
      <c r="AI49" s="58" t="s">
        <v>219</v>
      </c>
    </row>
    <row r="50" spans="1:35" s="17" customFormat="1" ht="31.5" customHeight="1" thickBot="1">
      <c r="A50" s="75" t="s">
        <v>52</v>
      </c>
      <c r="B50" s="119"/>
      <c r="C50" s="120"/>
      <c r="D50" s="120"/>
      <c r="E50" s="120"/>
      <c r="F50" s="120"/>
      <c r="G50" s="120"/>
      <c r="H50" s="52">
        <f t="shared" si="0"/>
        <v>0</v>
      </c>
      <c r="I50" s="52">
        <f t="shared" si="1"/>
        <v>0</v>
      </c>
      <c r="J50" s="53">
        <f t="shared" si="3"/>
        <v>0</v>
      </c>
      <c r="K50" s="54">
        <f t="shared" si="4"/>
        <v>0</v>
      </c>
      <c r="L50" s="55">
        <f t="shared" si="5"/>
        <v>0</v>
      </c>
      <c r="M50" s="55">
        <f t="shared" si="6"/>
        <v>0</v>
      </c>
      <c r="N50" s="55">
        <f t="shared" si="7"/>
        <v>0</v>
      </c>
      <c r="O50" s="53">
        <f t="shared" si="8"/>
        <v>0</v>
      </c>
      <c r="P50" s="54">
        <f t="shared" si="9"/>
        <v>0</v>
      </c>
      <c r="Q50" s="54">
        <f t="shared" si="10"/>
        <v>0</v>
      </c>
      <c r="R50" s="15">
        <v>5</v>
      </c>
      <c r="S50" s="17">
        <f>8.34/1000</f>
        <v>0.00834</v>
      </c>
      <c r="T50" s="57">
        <f t="shared" si="2"/>
        <v>0.8340000000000001</v>
      </c>
      <c r="U50" s="15">
        <v>0.9</v>
      </c>
      <c r="V50" s="113" t="s">
        <v>356</v>
      </c>
      <c r="W50" s="58" t="s">
        <v>221</v>
      </c>
      <c r="AB50" s="74">
        <f>8.34/1000</f>
        <v>0.00834</v>
      </c>
      <c r="AC50" s="74" t="s">
        <v>159</v>
      </c>
      <c r="AD50" s="58" t="s">
        <v>221</v>
      </c>
      <c r="AE50" s="58" t="s">
        <v>19</v>
      </c>
      <c r="AF50" s="17">
        <f>0.614/100</f>
        <v>0.00614</v>
      </c>
      <c r="AG50" s="58"/>
      <c r="AH50" s="113">
        <f>4.25/250</f>
        <v>0.017</v>
      </c>
      <c r="AI50" s="58" t="s">
        <v>220</v>
      </c>
    </row>
    <row r="51" spans="1:35" s="17" customFormat="1" ht="31.5" customHeight="1" thickBot="1">
      <c r="A51" s="75" t="s">
        <v>53</v>
      </c>
      <c r="B51" s="119"/>
      <c r="C51" s="120"/>
      <c r="D51" s="120"/>
      <c r="E51" s="120"/>
      <c r="F51" s="120"/>
      <c r="G51" s="120"/>
      <c r="H51" s="52">
        <f t="shared" si="0"/>
        <v>0</v>
      </c>
      <c r="I51" s="52">
        <f t="shared" si="1"/>
        <v>0</v>
      </c>
      <c r="J51" s="53">
        <f t="shared" si="3"/>
        <v>0</v>
      </c>
      <c r="K51" s="54">
        <f t="shared" si="4"/>
        <v>0</v>
      </c>
      <c r="L51" s="55">
        <f t="shared" si="5"/>
        <v>0</v>
      </c>
      <c r="M51" s="55">
        <f t="shared" si="6"/>
        <v>0</v>
      </c>
      <c r="N51" s="55">
        <f t="shared" si="7"/>
        <v>0</v>
      </c>
      <c r="O51" s="53">
        <f t="shared" si="8"/>
        <v>0</v>
      </c>
      <c r="P51" s="54">
        <f t="shared" si="9"/>
        <v>0</v>
      </c>
      <c r="Q51" s="54">
        <f t="shared" si="10"/>
        <v>0</v>
      </c>
      <c r="R51" s="17">
        <v>10</v>
      </c>
      <c r="S51" s="17">
        <f>1.39/100</f>
        <v>0.0139</v>
      </c>
      <c r="T51" s="57">
        <f t="shared" si="2"/>
        <v>1.39</v>
      </c>
      <c r="U51" s="15">
        <v>0.25</v>
      </c>
      <c r="V51" s="113" t="s">
        <v>378</v>
      </c>
      <c r="W51" s="58" t="s">
        <v>223</v>
      </c>
      <c r="AB51" s="74">
        <f>1.37/100</f>
        <v>0.0137</v>
      </c>
      <c r="AC51" s="74" t="s">
        <v>222</v>
      </c>
      <c r="AD51" s="58" t="s">
        <v>223</v>
      </c>
      <c r="AE51" s="58" t="s">
        <v>19</v>
      </c>
      <c r="AF51" s="17">
        <v>0.0125</v>
      </c>
      <c r="AG51" s="58"/>
      <c r="AH51" s="113">
        <f>2.95/500</f>
        <v>0.005900000000000001</v>
      </c>
      <c r="AI51" s="58" t="s">
        <v>403</v>
      </c>
    </row>
    <row r="52" spans="1:35" s="17" customFormat="1" ht="31.5" customHeight="1" thickBot="1">
      <c r="A52" s="76" t="s">
        <v>54</v>
      </c>
      <c r="B52" s="119"/>
      <c r="C52" s="120"/>
      <c r="D52" s="120"/>
      <c r="E52" s="120"/>
      <c r="F52" s="120"/>
      <c r="G52" s="120"/>
      <c r="H52" s="52">
        <f t="shared" si="0"/>
        <v>0</v>
      </c>
      <c r="I52" s="52">
        <f t="shared" si="1"/>
        <v>0</v>
      </c>
      <c r="J52" s="53">
        <f t="shared" si="3"/>
        <v>0</v>
      </c>
      <c r="K52" s="54">
        <f t="shared" si="4"/>
        <v>0</v>
      </c>
      <c r="L52" s="55">
        <f t="shared" si="5"/>
        <v>0</v>
      </c>
      <c r="M52" s="55">
        <f t="shared" si="6"/>
        <v>0</v>
      </c>
      <c r="N52" s="55">
        <f t="shared" si="7"/>
        <v>0</v>
      </c>
      <c r="O52" s="53">
        <f t="shared" si="8"/>
        <v>0</v>
      </c>
      <c r="P52" s="54">
        <f t="shared" si="9"/>
        <v>0</v>
      </c>
      <c r="Q52" s="54">
        <f t="shared" si="10"/>
        <v>0</v>
      </c>
      <c r="R52" s="17">
        <v>125</v>
      </c>
      <c r="S52" s="17">
        <f>7.8/1000</f>
        <v>0.0078</v>
      </c>
      <c r="T52" s="57">
        <f t="shared" si="2"/>
        <v>0.7799999999999999</v>
      </c>
      <c r="U52" s="17">
        <v>0</v>
      </c>
      <c r="V52" s="113" t="s">
        <v>356</v>
      </c>
      <c r="W52" s="58" t="s">
        <v>224</v>
      </c>
      <c r="AB52" s="74">
        <f>7.6/1000</f>
        <v>0.0076</v>
      </c>
      <c r="AC52" s="74" t="s">
        <v>159</v>
      </c>
      <c r="AD52" s="58" t="s">
        <v>224</v>
      </c>
      <c r="AE52" s="58" t="s">
        <v>19</v>
      </c>
      <c r="AF52" s="17">
        <f>7.2/1000</f>
        <v>0.0072</v>
      </c>
      <c r="AG52" s="58"/>
      <c r="AH52" s="113">
        <f>(2.6/2)/125</f>
        <v>0.0104</v>
      </c>
      <c r="AI52" s="58" t="s">
        <v>225</v>
      </c>
    </row>
    <row r="53" spans="1:35" s="17" customFormat="1" ht="31.5" customHeight="1" thickBot="1">
      <c r="A53" s="76" t="s">
        <v>55</v>
      </c>
      <c r="B53" s="119"/>
      <c r="C53" s="120"/>
      <c r="D53" s="120"/>
      <c r="E53" s="120"/>
      <c r="F53" s="120"/>
      <c r="G53" s="120"/>
      <c r="H53" s="52">
        <f t="shared" si="0"/>
        <v>0</v>
      </c>
      <c r="I53" s="52">
        <f t="shared" si="1"/>
        <v>0</v>
      </c>
      <c r="J53" s="53">
        <f t="shared" si="3"/>
        <v>0</v>
      </c>
      <c r="K53" s="54">
        <f t="shared" si="4"/>
        <v>0</v>
      </c>
      <c r="L53" s="55">
        <f t="shared" si="5"/>
        <v>0</v>
      </c>
      <c r="M53" s="55">
        <f t="shared" si="6"/>
        <v>0</v>
      </c>
      <c r="N53" s="55">
        <f t="shared" si="7"/>
        <v>0</v>
      </c>
      <c r="O53" s="53">
        <f t="shared" si="8"/>
        <v>0</v>
      </c>
      <c r="P53" s="54">
        <f t="shared" si="9"/>
        <v>0</v>
      </c>
      <c r="Q53" s="54">
        <f t="shared" si="10"/>
        <v>0</v>
      </c>
      <c r="R53" s="17">
        <v>20</v>
      </c>
      <c r="S53" s="17">
        <f>14/1000</f>
        <v>0.014</v>
      </c>
      <c r="T53" s="57">
        <f t="shared" si="2"/>
        <v>1.4000000000000001</v>
      </c>
      <c r="U53" s="17">
        <v>0.1</v>
      </c>
      <c r="V53" s="113" t="s">
        <v>379</v>
      </c>
      <c r="W53" s="58" t="s">
        <v>226</v>
      </c>
      <c r="AB53" s="74">
        <f>10/1000</f>
        <v>0.01</v>
      </c>
      <c r="AC53" s="74" t="s">
        <v>159</v>
      </c>
      <c r="AD53" s="58" t="s">
        <v>226</v>
      </c>
      <c r="AE53" s="58" t="s">
        <v>19</v>
      </c>
      <c r="AF53" s="17">
        <v>0.0134</v>
      </c>
      <c r="AG53" s="58"/>
      <c r="AH53" s="113">
        <f>(2.25/3)/20</f>
        <v>0.0375</v>
      </c>
      <c r="AI53" s="58" t="s">
        <v>404</v>
      </c>
    </row>
    <row r="54" spans="1:35" s="17" customFormat="1" ht="31.5" customHeight="1" thickBot="1">
      <c r="A54" s="76" t="s">
        <v>56</v>
      </c>
      <c r="B54" s="119"/>
      <c r="C54" s="120"/>
      <c r="D54" s="120"/>
      <c r="E54" s="120"/>
      <c r="F54" s="120"/>
      <c r="G54" s="120"/>
      <c r="H54" s="52">
        <f t="shared" si="0"/>
        <v>0</v>
      </c>
      <c r="I54" s="52">
        <f t="shared" si="1"/>
        <v>0</v>
      </c>
      <c r="J54" s="53">
        <f t="shared" si="3"/>
        <v>0</v>
      </c>
      <c r="K54" s="54">
        <f t="shared" si="4"/>
        <v>0</v>
      </c>
      <c r="L54" s="55">
        <f t="shared" si="5"/>
        <v>0</v>
      </c>
      <c r="M54" s="55">
        <f t="shared" si="6"/>
        <v>0</v>
      </c>
      <c r="N54" s="55">
        <f t="shared" si="7"/>
        <v>0</v>
      </c>
      <c r="O54" s="53">
        <f t="shared" si="8"/>
        <v>0</v>
      </c>
      <c r="P54" s="54">
        <f t="shared" si="9"/>
        <v>0</v>
      </c>
      <c r="Q54" s="54">
        <f t="shared" si="10"/>
        <v>0</v>
      </c>
      <c r="S54" s="17">
        <f>0.4/10</f>
        <v>0.04</v>
      </c>
      <c r="T54" s="57">
        <f t="shared" si="2"/>
        <v>4</v>
      </c>
      <c r="U54" s="17">
        <v>0</v>
      </c>
      <c r="V54" s="113" t="s">
        <v>379</v>
      </c>
      <c r="W54" s="58" t="s">
        <v>227</v>
      </c>
      <c r="AB54" s="74">
        <f>0.3/10</f>
        <v>0.03</v>
      </c>
      <c r="AC54" s="74" t="s">
        <v>159</v>
      </c>
      <c r="AD54" s="58" t="s">
        <v>227</v>
      </c>
      <c r="AE54" s="58" t="s">
        <v>19</v>
      </c>
      <c r="AF54" s="17">
        <f>0.34/10</f>
        <v>0.034</v>
      </c>
      <c r="AG54" s="58"/>
      <c r="AH54" s="113">
        <f>2.25/30</f>
        <v>0.075</v>
      </c>
      <c r="AI54" s="58" t="s">
        <v>228</v>
      </c>
    </row>
    <row r="55" spans="1:36" s="17" customFormat="1" ht="31.5" customHeight="1" thickBot="1">
      <c r="A55" s="76" t="s">
        <v>57</v>
      </c>
      <c r="B55" s="119"/>
      <c r="C55" s="120"/>
      <c r="D55" s="120"/>
      <c r="E55" s="120"/>
      <c r="F55" s="120"/>
      <c r="G55" s="120"/>
      <c r="H55" s="52">
        <f t="shared" si="0"/>
        <v>0</v>
      </c>
      <c r="I55" s="52">
        <f t="shared" si="1"/>
        <v>0</v>
      </c>
      <c r="J55" s="53">
        <f t="shared" si="3"/>
        <v>0</v>
      </c>
      <c r="K55" s="54">
        <f t="shared" si="4"/>
        <v>0</v>
      </c>
      <c r="L55" s="55">
        <f t="shared" si="5"/>
        <v>0</v>
      </c>
      <c r="M55" s="55">
        <f t="shared" si="6"/>
        <v>0</v>
      </c>
      <c r="N55" s="55">
        <f>G55*30</f>
        <v>0</v>
      </c>
      <c r="O55" s="53">
        <f t="shared" si="8"/>
        <v>0</v>
      </c>
      <c r="P55" s="54">
        <f t="shared" si="9"/>
        <v>0</v>
      </c>
      <c r="Q55" s="54">
        <f t="shared" si="10"/>
        <v>0</v>
      </c>
      <c r="R55" s="15"/>
      <c r="S55" s="17">
        <f>0.625/10</f>
        <v>0.0625</v>
      </c>
      <c r="T55" s="57">
        <f t="shared" si="2"/>
        <v>6.25</v>
      </c>
      <c r="U55" s="17">
        <v>0</v>
      </c>
      <c r="V55" s="113" t="s">
        <v>379</v>
      </c>
      <c r="W55" s="58" t="s">
        <v>380</v>
      </c>
      <c r="X55" s="17" t="s">
        <v>381</v>
      </c>
      <c r="AB55" s="74">
        <f>0.925/10</f>
        <v>0.0925</v>
      </c>
      <c r="AC55" s="74" t="s">
        <v>230</v>
      </c>
      <c r="AD55" s="58" t="s">
        <v>229</v>
      </c>
      <c r="AE55" s="58" t="s">
        <v>19</v>
      </c>
      <c r="AF55" s="17">
        <f>0.34/10</f>
        <v>0.034</v>
      </c>
      <c r="AG55" s="58"/>
      <c r="AH55" s="113">
        <f>0.625/10</f>
        <v>0.0625</v>
      </c>
      <c r="AI55" s="58" t="s">
        <v>380</v>
      </c>
      <c r="AJ55" s="17" t="s">
        <v>231</v>
      </c>
    </row>
    <row r="56" spans="1:35" s="17" customFormat="1" ht="31.5" customHeight="1" thickBot="1">
      <c r="A56" s="75" t="s">
        <v>58</v>
      </c>
      <c r="B56" s="121"/>
      <c r="C56" s="120"/>
      <c r="D56" s="120"/>
      <c r="E56" s="120"/>
      <c r="F56" s="120"/>
      <c r="G56" s="120"/>
      <c r="H56" s="52">
        <f aca="true" t="shared" si="11" ref="H56:H87">P56</f>
        <v>0</v>
      </c>
      <c r="I56" s="52">
        <f aca="true" t="shared" si="12" ref="I56:I87">Q56</f>
        <v>0</v>
      </c>
      <c r="J56" s="53">
        <f t="shared" si="3"/>
        <v>0</v>
      </c>
      <c r="K56" s="54">
        <f t="shared" si="4"/>
        <v>0</v>
      </c>
      <c r="L56" s="55">
        <f t="shared" si="5"/>
        <v>0</v>
      </c>
      <c r="M56" s="55">
        <f t="shared" si="6"/>
        <v>0</v>
      </c>
      <c r="N56" s="55">
        <f t="shared" si="7"/>
        <v>0</v>
      </c>
      <c r="O56" s="53">
        <f t="shared" si="8"/>
        <v>0</v>
      </c>
      <c r="P56" s="54">
        <f t="shared" si="9"/>
        <v>0</v>
      </c>
      <c r="Q56" s="54">
        <f t="shared" si="10"/>
        <v>0</v>
      </c>
      <c r="R56" s="17">
        <v>200</v>
      </c>
      <c r="S56" s="17">
        <f>3/1000</f>
        <v>0.003</v>
      </c>
      <c r="T56" s="57">
        <f t="shared" si="2"/>
        <v>0.3</v>
      </c>
      <c r="U56" s="15">
        <v>1</v>
      </c>
      <c r="V56" s="113" t="s">
        <v>159</v>
      </c>
      <c r="W56" s="58" t="s">
        <v>232</v>
      </c>
      <c r="AB56" s="74">
        <f>2.5/1000</f>
        <v>0.0025</v>
      </c>
      <c r="AC56" s="74" t="s">
        <v>159</v>
      </c>
      <c r="AD56" s="58" t="s">
        <v>232</v>
      </c>
      <c r="AE56" s="58" t="s">
        <v>19</v>
      </c>
      <c r="AF56" s="17">
        <f>2.14/1000</f>
        <v>0.00214</v>
      </c>
      <c r="AG56" s="58"/>
      <c r="AH56" s="113">
        <f>8.34/300</f>
        <v>0.0278</v>
      </c>
      <c r="AI56" s="58" t="s">
        <v>233</v>
      </c>
    </row>
    <row r="57" spans="1:35" s="17" customFormat="1" ht="31.5" customHeight="1" thickBot="1">
      <c r="A57" s="76" t="s">
        <v>59</v>
      </c>
      <c r="B57" s="119"/>
      <c r="C57" s="120"/>
      <c r="D57" s="120"/>
      <c r="E57" s="120"/>
      <c r="F57" s="120"/>
      <c r="G57" s="120"/>
      <c r="H57" s="52">
        <f t="shared" si="11"/>
        <v>0</v>
      </c>
      <c r="I57" s="52">
        <f t="shared" si="12"/>
        <v>0</v>
      </c>
      <c r="J57" s="53">
        <f t="shared" si="3"/>
        <v>0</v>
      </c>
      <c r="K57" s="54">
        <f t="shared" si="4"/>
        <v>0</v>
      </c>
      <c r="L57" s="55">
        <f t="shared" si="5"/>
        <v>0</v>
      </c>
      <c r="M57" s="55">
        <f t="shared" si="6"/>
        <v>0</v>
      </c>
      <c r="N57" s="55">
        <f t="shared" si="7"/>
        <v>0</v>
      </c>
      <c r="O57" s="53">
        <f t="shared" si="8"/>
        <v>0</v>
      </c>
      <c r="P57" s="54">
        <f t="shared" si="9"/>
        <v>0</v>
      </c>
      <c r="Q57" s="54">
        <f t="shared" si="10"/>
        <v>0</v>
      </c>
      <c r="R57" s="17">
        <v>20</v>
      </c>
      <c r="S57" s="17">
        <f>0.607/100</f>
        <v>0.00607</v>
      </c>
      <c r="T57" s="57">
        <f t="shared" si="2"/>
        <v>0.607</v>
      </c>
      <c r="U57" s="17">
        <v>1</v>
      </c>
      <c r="V57" s="116" t="s">
        <v>400</v>
      </c>
      <c r="W57" s="58" t="s">
        <v>235</v>
      </c>
      <c r="AB57" s="74">
        <f>5.71/100</f>
        <v>0.0571</v>
      </c>
      <c r="AC57" s="58" t="s">
        <v>234</v>
      </c>
      <c r="AD57" s="58" t="s">
        <v>235</v>
      </c>
      <c r="AE57" s="58"/>
      <c r="AF57" s="17">
        <v>0.005</v>
      </c>
      <c r="AG57" s="58"/>
      <c r="AH57" s="113">
        <f>0.607/100</f>
        <v>0.00607</v>
      </c>
      <c r="AI57" s="115" t="s">
        <v>400</v>
      </c>
    </row>
    <row r="58" spans="1:35" s="17" customFormat="1" ht="31.5" customHeight="1" thickBot="1">
      <c r="A58" s="76" t="s">
        <v>60</v>
      </c>
      <c r="B58" s="119"/>
      <c r="C58" s="120"/>
      <c r="D58" s="120"/>
      <c r="E58" s="120"/>
      <c r="F58" s="120"/>
      <c r="G58" s="120"/>
      <c r="H58" s="52">
        <f t="shared" si="11"/>
        <v>0</v>
      </c>
      <c r="I58" s="52">
        <f t="shared" si="12"/>
        <v>0</v>
      </c>
      <c r="J58" s="53">
        <f t="shared" si="3"/>
        <v>0</v>
      </c>
      <c r="K58" s="54">
        <f t="shared" si="4"/>
        <v>0</v>
      </c>
      <c r="L58" s="55">
        <f t="shared" si="5"/>
        <v>0</v>
      </c>
      <c r="M58" s="55">
        <f t="shared" si="6"/>
        <v>0</v>
      </c>
      <c r="N58" s="55">
        <f t="shared" si="7"/>
        <v>0</v>
      </c>
      <c r="O58" s="53">
        <f t="shared" si="8"/>
        <v>0</v>
      </c>
      <c r="P58" s="54">
        <f t="shared" si="9"/>
        <v>0</v>
      </c>
      <c r="Q58" s="54">
        <f t="shared" si="10"/>
        <v>0</v>
      </c>
      <c r="R58" s="17">
        <v>1</v>
      </c>
      <c r="S58" s="17">
        <f>9.17/1000</f>
        <v>0.00917</v>
      </c>
      <c r="T58" s="57">
        <f t="shared" si="2"/>
        <v>0.9169999999999999</v>
      </c>
      <c r="U58" s="15">
        <v>1</v>
      </c>
      <c r="V58" s="113" t="s">
        <v>379</v>
      </c>
      <c r="W58" s="58" t="s">
        <v>236</v>
      </c>
      <c r="AB58" s="74">
        <f>9.17/1000</f>
        <v>0.00917</v>
      </c>
      <c r="AC58" s="74" t="s">
        <v>159</v>
      </c>
      <c r="AD58" s="58" t="s">
        <v>236</v>
      </c>
      <c r="AE58" s="58" t="s">
        <v>19</v>
      </c>
      <c r="AF58" s="17">
        <f>6.67/1000</f>
        <v>0.00667</v>
      </c>
      <c r="AG58" s="58"/>
      <c r="AH58" s="113">
        <f>2.77/100</f>
        <v>0.0277</v>
      </c>
      <c r="AI58" s="58" t="s">
        <v>399</v>
      </c>
    </row>
    <row r="59" spans="1:35" s="17" customFormat="1" ht="31.5" customHeight="1" thickBot="1">
      <c r="A59" s="75" t="s">
        <v>61</v>
      </c>
      <c r="B59" s="121"/>
      <c r="C59" s="120"/>
      <c r="D59" s="120"/>
      <c r="E59" s="120"/>
      <c r="F59" s="120"/>
      <c r="G59" s="120"/>
      <c r="H59" s="52">
        <f t="shared" si="11"/>
        <v>0</v>
      </c>
      <c r="I59" s="52">
        <f t="shared" si="12"/>
        <v>0</v>
      </c>
      <c r="J59" s="53">
        <f t="shared" si="3"/>
        <v>0</v>
      </c>
      <c r="K59" s="54">
        <f t="shared" si="4"/>
        <v>0</v>
      </c>
      <c r="L59" s="55">
        <f t="shared" si="5"/>
        <v>0</v>
      </c>
      <c r="M59" s="55">
        <f t="shared" si="6"/>
        <v>0</v>
      </c>
      <c r="N59" s="55">
        <f t="shared" si="7"/>
        <v>0</v>
      </c>
      <c r="O59" s="53">
        <f t="shared" si="8"/>
        <v>0</v>
      </c>
      <c r="P59" s="54">
        <f t="shared" si="9"/>
        <v>0</v>
      </c>
      <c r="Q59" s="54">
        <f t="shared" si="10"/>
        <v>0</v>
      </c>
      <c r="R59" s="17">
        <v>300</v>
      </c>
      <c r="S59" s="17">
        <f>0.85/300</f>
        <v>0.002833333333333333</v>
      </c>
      <c r="T59" s="57">
        <f t="shared" si="2"/>
        <v>0.2833333333333333</v>
      </c>
      <c r="U59" s="15">
        <v>0.9</v>
      </c>
      <c r="V59" s="113" t="s">
        <v>382</v>
      </c>
      <c r="W59" s="58" t="s">
        <v>237</v>
      </c>
      <c r="AB59" s="74">
        <f>0.7/300</f>
        <v>0.002333333333333333</v>
      </c>
      <c r="AC59" s="74" t="s">
        <v>238</v>
      </c>
      <c r="AD59" s="58" t="s">
        <v>237</v>
      </c>
      <c r="AE59" s="58" t="s">
        <v>19</v>
      </c>
      <c r="AF59" s="17">
        <f>0.5/300</f>
        <v>0.0016666666666666668</v>
      </c>
      <c r="AG59" s="58"/>
      <c r="AH59" s="113">
        <f>1.45/300</f>
        <v>0.004833333333333334</v>
      </c>
      <c r="AI59" s="70" t="s">
        <v>239</v>
      </c>
    </row>
    <row r="60" spans="1:35" s="17" customFormat="1" ht="31.5" customHeight="1" thickBot="1">
      <c r="A60" s="76" t="s">
        <v>62</v>
      </c>
      <c r="B60" s="119"/>
      <c r="C60" s="120"/>
      <c r="D60" s="120"/>
      <c r="E60" s="120"/>
      <c r="F60" s="120"/>
      <c r="G60" s="120"/>
      <c r="H60" s="52">
        <f t="shared" si="11"/>
        <v>0</v>
      </c>
      <c r="I60" s="52">
        <f t="shared" si="12"/>
        <v>0</v>
      </c>
      <c r="J60" s="53">
        <f t="shared" si="3"/>
        <v>0</v>
      </c>
      <c r="K60" s="54">
        <f t="shared" si="4"/>
        <v>0</v>
      </c>
      <c r="L60" s="55">
        <f t="shared" si="5"/>
        <v>0</v>
      </c>
      <c r="M60" s="55">
        <f t="shared" si="6"/>
        <v>0</v>
      </c>
      <c r="N60" s="55">
        <f t="shared" si="7"/>
        <v>0</v>
      </c>
      <c r="O60" s="53">
        <f t="shared" si="8"/>
        <v>0</v>
      </c>
      <c r="P60" s="54">
        <f t="shared" si="9"/>
        <v>0</v>
      </c>
      <c r="Q60" s="54">
        <f t="shared" si="10"/>
        <v>0</v>
      </c>
      <c r="R60" s="15">
        <v>170</v>
      </c>
      <c r="S60" s="17">
        <f>2/1000</f>
        <v>0.002</v>
      </c>
      <c r="T60" s="57">
        <f t="shared" si="2"/>
        <v>0.2</v>
      </c>
      <c r="U60" s="17">
        <v>0</v>
      </c>
      <c r="V60" s="113" t="s">
        <v>406</v>
      </c>
      <c r="W60" s="58" t="s">
        <v>405</v>
      </c>
      <c r="AB60" s="74">
        <f>1.15/170</f>
        <v>0.006764705882352941</v>
      </c>
      <c r="AC60" s="74" t="s">
        <v>160</v>
      </c>
      <c r="AD60" s="58" t="s">
        <v>240</v>
      </c>
      <c r="AE60" s="58" t="s">
        <v>29</v>
      </c>
      <c r="AF60" s="17">
        <f>1.3/1000</f>
        <v>0.0013</v>
      </c>
      <c r="AG60" s="58"/>
      <c r="AH60" s="113">
        <f>1.3/170</f>
        <v>0.007647058823529412</v>
      </c>
      <c r="AI60" s="70" t="s">
        <v>241</v>
      </c>
    </row>
    <row r="61" spans="1:35" s="17" customFormat="1" ht="31.5" customHeight="1" thickBot="1">
      <c r="A61" s="75" t="s">
        <v>63</v>
      </c>
      <c r="B61" s="119"/>
      <c r="C61" s="120"/>
      <c r="D61" s="120"/>
      <c r="E61" s="120"/>
      <c r="F61" s="120"/>
      <c r="G61" s="120"/>
      <c r="H61" s="52">
        <f t="shared" si="11"/>
        <v>0</v>
      </c>
      <c r="I61" s="52">
        <f t="shared" si="12"/>
        <v>0</v>
      </c>
      <c r="J61" s="53">
        <f t="shared" si="3"/>
        <v>0</v>
      </c>
      <c r="K61" s="54">
        <f t="shared" si="4"/>
        <v>0</v>
      </c>
      <c r="L61" s="55">
        <f t="shared" si="5"/>
        <v>0</v>
      </c>
      <c r="M61" s="55">
        <f t="shared" si="6"/>
        <v>0</v>
      </c>
      <c r="N61" s="55">
        <f t="shared" si="7"/>
        <v>0</v>
      </c>
      <c r="O61" s="53">
        <f t="shared" si="8"/>
        <v>0</v>
      </c>
      <c r="P61" s="54">
        <f t="shared" si="9"/>
        <v>0</v>
      </c>
      <c r="Q61" s="54">
        <f t="shared" si="10"/>
        <v>0</v>
      </c>
      <c r="R61" s="15">
        <v>5</v>
      </c>
      <c r="S61" s="17">
        <f>2.65/400</f>
        <v>0.006625</v>
      </c>
      <c r="T61" s="57">
        <f t="shared" si="2"/>
        <v>0.6625</v>
      </c>
      <c r="U61" s="15">
        <v>0.5</v>
      </c>
      <c r="V61" s="113" t="s">
        <v>398</v>
      </c>
      <c r="W61" s="58" t="s">
        <v>208</v>
      </c>
      <c r="AB61" s="74">
        <f>2.65/400</f>
        <v>0.006625</v>
      </c>
      <c r="AC61" s="74" t="s">
        <v>193</v>
      </c>
      <c r="AD61" s="58" t="s">
        <v>208</v>
      </c>
      <c r="AE61" s="58" t="s">
        <v>64</v>
      </c>
      <c r="AF61" s="17">
        <v>0.004</v>
      </c>
      <c r="AG61" s="58"/>
      <c r="AH61" s="113">
        <f>2.65/400</f>
        <v>0.006625</v>
      </c>
      <c r="AI61" s="70" t="s">
        <v>208</v>
      </c>
    </row>
    <row r="62" spans="1:36" s="17" customFormat="1" ht="31.5" customHeight="1" thickBot="1">
      <c r="A62" s="75" t="s">
        <v>65</v>
      </c>
      <c r="B62" s="119"/>
      <c r="C62" s="120"/>
      <c r="D62" s="120"/>
      <c r="E62" s="120"/>
      <c r="F62" s="120"/>
      <c r="G62" s="120"/>
      <c r="H62" s="52">
        <f t="shared" si="11"/>
        <v>0</v>
      </c>
      <c r="I62" s="52">
        <f t="shared" si="12"/>
        <v>0</v>
      </c>
      <c r="J62" s="53">
        <f t="shared" si="3"/>
        <v>0</v>
      </c>
      <c r="K62" s="54">
        <f t="shared" si="4"/>
        <v>0</v>
      </c>
      <c r="L62" s="55">
        <f t="shared" si="5"/>
        <v>0</v>
      </c>
      <c r="M62" s="55">
        <f t="shared" si="6"/>
        <v>0</v>
      </c>
      <c r="N62" s="55">
        <f t="shared" si="7"/>
        <v>0</v>
      </c>
      <c r="O62" s="53">
        <f t="shared" si="8"/>
        <v>0</v>
      </c>
      <c r="P62" s="54">
        <f t="shared" si="9"/>
        <v>0</v>
      </c>
      <c r="Q62" s="54">
        <f t="shared" si="10"/>
        <v>0</v>
      </c>
      <c r="R62" s="17">
        <v>1</v>
      </c>
      <c r="S62" s="17">
        <f>7.18/100</f>
        <v>0.0718</v>
      </c>
      <c r="T62" s="57">
        <f t="shared" si="2"/>
        <v>7.180000000000001</v>
      </c>
      <c r="U62" s="15">
        <v>0.25</v>
      </c>
      <c r="V62" s="113" t="s">
        <v>244</v>
      </c>
      <c r="W62" s="17" t="s">
        <v>243</v>
      </c>
      <c r="X62" s="17" t="s">
        <v>242</v>
      </c>
      <c r="AB62" s="74">
        <f>7.18/100</f>
        <v>0.0718</v>
      </c>
      <c r="AC62" s="74" t="s">
        <v>244</v>
      </c>
      <c r="AD62" s="74" t="s">
        <v>243</v>
      </c>
      <c r="AE62" s="58" t="s">
        <v>64</v>
      </c>
      <c r="AF62" s="17">
        <f>3.56/100</f>
        <v>0.0356</v>
      </c>
      <c r="AG62" s="58"/>
      <c r="AH62" s="113">
        <f>7.18/100</f>
        <v>0.0718</v>
      </c>
      <c r="AI62" s="17" t="s">
        <v>243</v>
      </c>
      <c r="AJ62" s="17" t="s">
        <v>242</v>
      </c>
    </row>
    <row r="63" spans="1:35" s="17" customFormat="1" ht="31.5" customHeight="1" thickBot="1">
      <c r="A63" s="76" t="s">
        <v>66</v>
      </c>
      <c r="B63" s="119"/>
      <c r="C63" s="120"/>
      <c r="D63" s="120"/>
      <c r="E63" s="120"/>
      <c r="F63" s="120"/>
      <c r="G63" s="120"/>
      <c r="H63" s="52">
        <f t="shared" si="11"/>
        <v>0</v>
      </c>
      <c r="I63" s="52">
        <f t="shared" si="12"/>
        <v>0</v>
      </c>
      <c r="J63" s="53">
        <f t="shared" si="3"/>
        <v>0</v>
      </c>
      <c r="K63" s="54">
        <f t="shared" si="4"/>
        <v>0</v>
      </c>
      <c r="L63" s="55">
        <f t="shared" si="5"/>
        <v>0</v>
      </c>
      <c r="M63" s="55">
        <f t="shared" si="6"/>
        <v>0</v>
      </c>
      <c r="N63" s="55">
        <f t="shared" si="7"/>
        <v>0</v>
      </c>
      <c r="O63" s="53">
        <f t="shared" si="8"/>
        <v>0</v>
      </c>
      <c r="P63" s="54">
        <f t="shared" si="9"/>
        <v>0</v>
      </c>
      <c r="Q63" s="54">
        <f t="shared" si="10"/>
        <v>0</v>
      </c>
      <c r="R63" s="15">
        <v>300</v>
      </c>
      <c r="S63" s="17">
        <f>4.75/1000</f>
        <v>0.00475</v>
      </c>
      <c r="T63" s="57">
        <f t="shared" si="2"/>
        <v>0.475</v>
      </c>
      <c r="U63" s="17">
        <v>0</v>
      </c>
      <c r="V63" s="113" t="s">
        <v>356</v>
      </c>
      <c r="W63" s="58" t="s">
        <v>245</v>
      </c>
      <c r="AB63" s="74">
        <f>4.4/1000</f>
        <v>0.0044</v>
      </c>
      <c r="AC63" s="74" t="s">
        <v>159</v>
      </c>
      <c r="AD63" s="58" t="s">
        <v>245</v>
      </c>
      <c r="AE63" s="58" t="s">
        <v>19</v>
      </c>
      <c r="AF63" s="17">
        <f>4/1000</f>
        <v>0.004</v>
      </c>
      <c r="AG63" s="58"/>
      <c r="AH63" s="113">
        <f>2.75/300</f>
        <v>0.009166666666666667</v>
      </c>
      <c r="AI63" s="58" t="s">
        <v>407</v>
      </c>
    </row>
    <row r="64" spans="1:35" s="17" customFormat="1" ht="31.5" customHeight="1" thickBot="1">
      <c r="A64" s="75" t="s">
        <v>67</v>
      </c>
      <c r="B64" s="119"/>
      <c r="C64" s="120"/>
      <c r="D64" s="120"/>
      <c r="E64" s="120"/>
      <c r="F64" s="120"/>
      <c r="G64" s="120"/>
      <c r="H64" s="52">
        <f t="shared" si="11"/>
        <v>0</v>
      </c>
      <c r="I64" s="52">
        <f t="shared" si="12"/>
        <v>0</v>
      </c>
      <c r="J64" s="53">
        <f t="shared" si="3"/>
        <v>0</v>
      </c>
      <c r="K64" s="54">
        <f t="shared" si="4"/>
        <v>0</v>
      </c>
      <c r="L64" s="55">
        <f t="shared" si="5"/>
        <v>0</v>
      </c>
      <c r="M64" s="55">
        <f t="shared" si="6"/>
        <v>0</v>
      </c>
      <c r="N64" s="55">
        <f t="shared" si="7"/>
        <v>0</v>
      </c>
      <c r="O64" s="53">
        <f t="shared" si="8"/>
        <v>0</v>
      </c>
      <c r="P64" s="54">
        <f t="shared" si="9"/>
        <v>0</v>
      </c>
      <c r="Q64" s="54">
        <f t="shared" si="10"/>
        <v>0</v>
      </c>
      <c r="R64" s="17">
        <f>330/6</f>
        <v>55</v>
      </c>
      <c r="S64" s="17">
        <f>0.741/100</f>
        <v>0.00741</v>
      </c>
      <c r="T64" s="57">
        <f t="shared" si="2"/>
        <v>0.741</v>
      </c>
      <c r="U64" s="15">
        <v>0</v>
      </c>
      <c r="V64" s="113" t="s">
        <v>356</v>
      </c>
      <c r="W64" s="58" t="s">
        <v>383</v>
      </c>
      <c r="X64" s="17" t="s">
        <v>384</v>
      </c>
      <c r="AB64" s="74">
        <f>22.86/1000</f>
        <v>0.02286</v>
      </c>
      <c r="AC64" s="74" t="s">
        <v>247</v>
      </c>
      <c r="AD64" s="58" t="s">
        <v>246</v>
      </c>
      <c r="AE64" s="58" t="s">
        <v>19</v>
      </c>
      <c r="AF64" s="17">
        <f>13.64/1000</f>
        <v>0.013640000000000001</v>
      </c>
      <c r="AG64" s="58"/>
      <c r="AH64" s="113">
        <f>3.75/250</f>
        <v>0.015</v>
      </c>
      <c r="AI64" s="58" t="s">
        <v>408</v>
      </c>
    </row>
    <row r="65" spans="1:35" s="17" customFormat="1" ht="31.5" customHeight="1" thickBot="1">
      <c r="A65" s="75" t="s">
        <v>68</v>
      </c>
      <c r="B65" s="119"/>
      <c r="C65" s="120"/>
      <c r="D65" s="120"/>
      <c r="E65" s="120"/>
      <c r="F65" s="120"/>
      <c r="G65" s="120"/>
      <c r="H65" s="52">
        <f t="shared" si="11"/>
        <v>0</v>
      </c>
      <c r="I65" s="52">
        <f t="shared" si="12"/>
        <v>0</v>
      </c>
      <c r="J65" s="53">
        <f t="shared" si="3"/>
        <v>0</v>
      </c>
      <c r="K65" s="54">
        <f t="shared" si="4"/>
        <v>0</v>
      </c>
      <c r="L65" s="55">
        <f t="shared" si="5"/>
        <v>0</v>
      </c>
      <c r="M65" s="55">
        <f t="shared" si="6"/>
        <v>0</v>
      </c>
      <c r="N65" s="55">
        <f>G65*30</f>
        <v>0</v>
      </c>
      <c r="O65" s="53">
        <f t="shared" si="8"/>
        <v>0</v>
      </c>
      <c r="P65" s="54">
        <f t="shared" si="9"/>
        <v>0</v>
      </c>
      <c r="Q65" s="54">
        <f t="shared" si="10"/>
        <v>0</v>
      </c>
      <c r="S65" s="17">
        <f>0.32/10</f>
        <v>0.032</v>
      </c>
      <c r="T65" s="57">
        <f t="shared" si="2"/>
        <v>3.2</v>
      </c>
      <c r="U65" s="15">
        <v>0</v>
      </c>
      <c r="V65" s="113" t="s">
        <v>385</v>
      </c>
      <c r="W65" s="58" t="s">
        <v>248</v>
      </c>
      <c r="AB65" s="74">
        <f>0.3/10</f>
        <v>0.03</v>
      </c>
      <c r="AC65" s="74" t="s">
        <v>159</v>
      </c>
      <c r="AD65" s="58" t="s">
        <v>248</v>
      </c>
      <c r="AE65" s="58" t="s">
        <v>19</v>
      </c>
      <c r="AF65" s="17">
        <f>0.34/10</f>
        <v>0.034</v>
      </c>
      <c r="AG65" s="58"/>
      <c r="AH65" s="113">
        <f>2.25/30</f>
        <v>0.075</v>
      </c>
      <c r="AI65" s="58" t="s">
        <v>345</v>
      </c>
    </row>
    <row r="66" spans="1:35" s="17" customFormat="1" ht="31.5" customHeight="1" thickBot="1">
      <c r="A66" s="76" t="s">
        <v>69</v>
      </c>
      <c r="B66" s="121"/>
      <c r="C66" s="120"/>
      <c r="D66" s="120"/>
      <c r="E66" s="120"/>
      <c r="F66" s="120"/>
      <c r="G66" s="120"/>
      <c r="H66" s="52">
        <f t="shared" si="11"/>
        <v>0</v>
      </c>
      <c r="I66" s="52">
        <f t="shared" si="12"/>
        <v>0</v>
      </c>
      <c r="J66" s="53">
        <f t="shared" si="3"/>
        <v>0</v>
      </c>
      <c r="K66" s="54">
        <f t="shared" si="4"/>
        <v>0</v>
      </c>
      <c r="L66" s="55">
        <f t="shared" si="5"/>
        <v>0</v>
      </c>
      <c r="M66" s="55">
        <f t="shared" si="6"/>
        <v>0</v>
      </c>
      <c r="N66" s="55">
        <f t="shared" si="7"/>
        <v>0</v>
      </c>
      <c r="O66" s="53">
        <f t="shared" si="8"/>
        <v>0</v>
      </c>
      <c r="P66" s="54">
        <f t="shared" si="9"/>
        <v>0</v>
      </c>
      <c r="Q66" s="54">
        <f t="shared" si="10"/>
        <v>0</v>
      </c>
      <c r="R66" s="17">
        <v>30</v>
      </c>
      <c r="S66" s="17">
        <f>0.317/30</f>
        <v>0.010566666666666667</v>
      </c>
      <c r="T66" s="57">
        <f t="shared" si="2"/>
        <v>1.0566666666666666</v>
      </c>
      <c r="U66" s="17">
        <v>0</v>
      </c>
      <c r="V66" s="113" t="s">
        <v>385</v>
      </c>
      <c r="W66" s="58" t="s">
        <v>249</v>
      </c>
      <c r="AB66" s="74">
        <f>0.3/30</f>
        <v>0.01</v>
      </c>
      <c r="AC66" s="74" t="s">
        <v>159</v>
      </c>
      <c r="AD66" s="58" t="s">
        <v>249</v>
      </c>
      <c r="AE66" s="58" t="s">
        <v>19</v>
      </c>
      <c r="AF66" s="17">
        <f>0.297/30</f>
        <v>0.009899999999999999</v>
      </c>
      <c r="AG66" s="58"/>
      <c r="AH66" s="113">
        <f>0.383/30</f>
        <v>0.012766666666666667</v>
      </c>
      <c r="AI66" s="58" t="s">
        <v>250</v>
      </c>
    </row>
    <row r="67" spans="1:35" s="17" customFormat="1" ht="31.5" customHeight="1" thickBot="1">
      <c r="A67" s="76" t="s">
        <v>70</v>
      </c>
      <c r="B67" s="119"/>
      <c r="C67" s="120"/>
      <c r="D67" s="120"/>
      <c r="E67" s="120"/>
      <c r="F67" s="120"/>
      <c r="G67" s="120"/>
      <c r="H67" s="52">
        <f t="shared" si="11"/>
        <v>0</v>
      </c>
      <c r="I67" s="52">
        <f t="shared" si="12"/>
        <v>0</v>
      </c>
      <c r="J67" s="53">
        <f t="shared" si="3"/>
        <v>0</v>
      </c>
      <c r="K67" s="54">
        <f t="shared" si="4"/>
        <v>0</v>
      </c>
      <c r="L67" s="55">
        <f t="shared" si="5"/>
        <v>0</v>
      </c>
      <c r="M67" s="55">
        <f t="shared" si="6"/>
        <v>0</v>
      </c>
      <c r="N67" s="55">
        <f t="shared" si="7"/>
        <v>0</v>
      </c>
      <c r="O67" s="53">
        <f t="shared" si="8"/>
        <v>0</v>
      </c>
      <c r="P67" s="54">
        <f t="shared" si="9"/>
        <v>0</v>
      </c>
      <c r="Q67" s="54">
        <f t="shared" si="10"/>
        <v>0</v>
      </c>
      <c r="R67" s="17">
        <v>10</v>
      </c>
      <c r="S67" s="17">
        <f>5.89/1000</f>
        <v>0.005889999999999999</v>
      </c>
      <c r="T67" s="57">
        <f t="shared" si="2"/>
        <v>0.589</v>
      </c>
      <c r="U67" s="15">
        <v>0.1</v>
      </c>
      <c r="V67" s="113" t="s">
        <v>385</v>
      </c>
      <c r="W67" s="58" t="s">
        <v>251</v>
      </c>
      <c r="AB67" s="74">
        <f>5.98/1000</f>
        <v>0.00598</v>
      </c>
      <c r="AC67" s="74" t="s">
        <v>159</v>
      </c>
      <c r="AD67" s="58" t="s">
        <v>251</v>
      </c>
      <c r="AE67" s="58" t="s">
        <v>19</v>
      </c>
      <c r="AF67" s="17">
        <f>6.67/1000</f>
        <v>0.00667</v>
      </c>
      <c r="AG67" s="58"/>
      <c r="AH67" s="113">
        <f>2.8/250</f>
        <v>0.0112</v>
      </c>
      <c r="AI67" s="58" t="s">
        <v>252</v>
      </c>
    </row>
    <row r="68" spans="1:35" s="17" customFormat="1" ht="31.5" customHeight="1" thickBot="1">
      <c r="A68" s="76" t="s">
        <v>71</v>
      </c>
      <c r="B68" s="119"/>
      <c r="C68" s="120"/>
      <c r="D68" s="120"/>
      <c r="E68" s="120"/>
      <c r="F68" s="120"/>
      <c r="G68" s="120"/>
      <c r="H68" s="52">
        <f t="shared" si="11"/>
        <v>0</v>
      </c>
      <c r="I68" s="52">
        <f t="shared" si="12"/>
        <v>0</v>
      </c>
      <c r="J68" s="53">
        <f t="shared" si="3"/>
        <v>0</v>
      </c>
      <c r="K68" s="54">
        <f t="shared" si="4"/>
        <v>0</v>
      </c>
      <c r="L68" s="55">
        <f t="shared" si="5"/>
        <v>0</v>
      </c>
      <c r="M68" s="55">
        <f t="shared" si="6"/>
        <v>0</v>
      </c>
      <c r="N68" s="55">
        <f t="shared" si="7"/>
        <v>0</v>
      </c>
      <c r="O68" s="53">
        <f t="shared" si="8"/>
        <v>0</v>
      </c>
      <c r="P68" s="54">
        <f t="shared" si="9"/>
        <v>0</v>
      </c>
      <c r="Q68" s="54">
        <f t="shared" si="10"/>
        <v>0</v>
      </c>
      <c r="R68" s="17">
        <v>5</v>
      </c>
      <c r="S68" s="17">
        <f>8.34/1000</f>
        <v>0.00834</v>
      </c>
      <c r="T68" s="57">
        <f t="shared" si="2"/>
        <v>0.8340000000000001</v>
      </c>
      <c r="U68" s="15">
        <v>0.1</v>
      </c>
      <c r="V68" s="113" t="s">
        <v>385</v>
      </c>
      <c r="W68" s="58" t="s">
        <v>253</v>
      </c>
      <c r="AB68" s="74">
        <f>18.34/1000</f>
        <v>0.01834</v>
      </c>
      <c r="AC68" s="74" t="s">
        <v>159</v>
      </c>
      <c r="AD68" s="58" t="s">
        <v>253</v>
      </c>
      <c r="AE68" s="58" t="s">
        <v>19</v>
      </c>
      <c r="AF68" s="17">
        <f>11.12/1000</f>
        <v>0.01112</v>
      </c>
      <c r="AG68" s="58"/>
      <c r="AH68" s="113">
        <f>2.8/250</f>
        <v>0.0112</v>
      </c>
      <c r="AI68" s="58" t="s">
        <v>252</v>
      </c>
    </row>
    <row r="69" spans="1:35" s="17" customFormat="1" ht="31.5" customHeight="1" thickBot="1">
      <c r="A69" s="76" t="s">
        <v>72</v>
      </c>
      <c r="B69" s="119"/>
      <c r="C69" s="120"/>
      <c r="D69" s="120"/>
      <c r="E69" s="120"/>
      <c r="F69" s="120"/>
      <c r="G69" s="120"/>
      <c r="H69" s="52">
        <f t="shared" si="11"/>
        <v>0</v>
      </c>
      <c r="I69" s="52">
        <f t="shared" si="12"/>
        <v>0</v>
      </c>
      <c r="J69" s="53">
        <f t="shared" si="3"/>
        <v>0</v>
      </c>
      <c r="K69" s="54">
        <f t="shared" si="4"/>
        <v>0</v>
      </c>
      <c r="L69" s="55">
        <f t="shared" si="5"/>
        <v>0</v>
      </c>
      <c r="M69" s="55">
        <f t="shared" si="6"/>
        <v>0</v>
      </c>
      <c r="N69" s="55">
        <f t="shared" si="7"/>
        <v>0</v>
      </c>
      <c r="O69" s="53">
        <f t="shared" si="8"/>
        <v>0</v>
      </c>
      <c r="P69" s="54">
        <f t="shared" si="9"/>
        <v>0</v>
      </c>
      <c r="Q69" s="54">
        <f t="shared" si="10"/>
        <v>0</v>
      </c>
      <c r="R69" s="61">
        <v>5</v>
      </c>
      <c r="S69" s="17">
        <f>4/1000</f>
        <v>0.004</v>
      </c>
      <c r="T69" s="57">
        <f t="shared" si="2"/>
        <v>0.4</v>
      </c>
      <c r="U69" s="17">
        <v>0</v>
      </c>
      <c r="V69" s="113" t="s">
        <v>373</v>
      </c>
      <c r="W69" s="58" t="s">
        <v>386</v>
      </c>
      <c r="AB69" s="74">
        <f>4/1000</f>
        <v>0.004</v>
      </c>
      <c r="AC69" s="74" t="s">
        <v>159</v>
      </c>
      <c r="AD69" s="58" t="s">
        <v>254</v>
      </c>
      <c r="AE69" s="58" t="s">
        <v>19</v>
      </c>
      <c r="AF69" s="17">
        <f>4/1000</f>
        <v>0.004</v>
      </c>
      <c r="AG69" s="58"/>
      <c r="AH69" s="113">
        <f>4.15/350</f>
        <v>0.011857142857142858</v>
      </c>
      <c r="AI69" s="58" t="s">
        <v>409</v>
      </c>
    </row>
    <row r="70" spans="1:35" s="17" customFormat="1" ht="31.5" customHeight="1" thickBot="1">
      <c r="A70" s="76" t="s">
        <v>73</v>
      </c>
      <c r="B70" s="119"/>
      <c r="C70" s="120"/>
      <c r="D70" s="120"/>
      <c r="E70" s="120"/>
      <c r="F70" s="120"/>
      <c r="G70" s="120"/>
      <c r="H70" s="52">
        <f t="shared" si="11"/>
        <v>0</v>
      </c>
      <c r="I70" s="52">
        <f t="shared" si="12"/>
        <v>0</v>
      </c>
      <c r="J70" s="53">
        <f t="shared" si="3"/>
        <v>0</v>
      </c>
      <c r="K70" s="54">
        <f t="shared" si="4"/>
        <v>0</v>
      </c>
      <c r="L70" s="55">
        <f t="shared" si="5"/>
        <v>0</v>
      </c>
      <c r="M70" s="55">
        <f t="shared" si="6"/>
        <v>0</v>
      </c>
      <c r="N70" s="55">
        <f t="shared" si="7"/>
        <v>0</v>
      </c>
      <c r="O70" s="53">
        <f t="shared" si="8"/>
        <v>0</v>
      </c>
      <c r="P70" s="54">
        <f t="shared" si="9"/>
        <v>0</v>
      </c>
      <c r="Q70" s="54">
        <f t="shared" si="10"/>
        <v>0</v>
      </c>
      <c r="R70" s="17">
        <v>5</v>
      </c>
      <c r="S70" s="17">
        <f>5.56/1000</f>
        <v>0.00556</v>
      </c>
      <c r="T70" s="57">
        <f t="shared" si="2"/>
        <v>0.5559999999999999</v>
      </c>
      <c r="U70" s="15">
        <v>0</v>
      </c>
      <c r="V70" s="113" t="s">
        <v>356</v>
      </c>
      <c r="W70" s="58" t="s">
        <v>387</v>
      </c>
      <c r="AB70" s="74">
        <f>5.42/1000</f>
        <v>0.00542</v>
      </c>
      <c r="AC70" s="74" t="s">
        <v>159</v>
      </c>
      <c r="AD70" s="58" t="s">
        <v>255</v>
      </c>
      <c r="AE70" s="58" t="s">
        <v>19</v>
      </c>
      <c r="AF70" s="17">
        <f>6.67/1000</f>
        <v>0.00667</v>
      </c>
      <c r="AG70" s="58"/>
      <c r="AH70" s="113">
        <f>8.89/1000</f>
        <v>0.00889</v>
      </c>
      <c r="AI70" s="58" t="s">
        <v>256</v>
      </c>
    </row>
    <row r="71" spans="1:35" s="17" customFormat="1" ht="31.5" customHeight="1" thickBot="1">
      <c r="A71" s="77" t="s">
        <v>74</v>
      </c>
      <c r="B71" s="119"/>
      <c r="C71" s="120"/>
      <c r="D71" s="120"/>
      <c r="E71" s="120"/>
      <c r="F71" s="120"/>
      <c r="G71" s="120"/>
      <c r="H71" s="52">
        <f t="shared" si="11"/>
        <v>0</v>
      </c>
      <c r="I71" s="52">
        <f t="shared" si="12"/>
        <v>0</v>
      </c>
      <c r="J71" s="53">
        <f t="shared" si="3"/>
        <v>0</v>
      </c>
      <c r="K71" s="54">
        <f t="shared" si="4"/>
        <v>0</v>
      </c>
      <c r="L71" s="55">
        <f t="shared" si="5"/>
        <v>0</v>
      </c>
      <c r="M71" s="55">
        <f t="shared" si="6"/>
        <v>0</v>
      </c>
      <c r="N71" s="55">
        <f t="shared" si="7"/>
        <v>0</v>
      </c>
      <c r="O71" s="53">
        <f t="shared" si="8"/>
        <v>0</v>
      </c>
      <c r="P71" s="54">
        <f t="shared" si="9"/>
        <v>0</v>
      </c>
      <c r="Q71" s="54">
        <f t="shared" si="10"/>
        <v>0</v>
      </c>
      <c r="R71" s="61">
        <v>90</v>
      </c>
      <c r="S71" s="17">
        <f>3/1000</f>
        <v>0.003</v>
      </c>
      <c r="T71" s="57">
        <f t="shared" si="2"/>
        <v>0.3</v>
      </c>
      <c r="U71" s="17">
        <v>0.5</v>
      </c>
      <c r="V71" s="113" t="s">
        <v>257</v>
      </c>
      <c r="W71" s="58" t="s">
        <v>258</v>
      </c>
      <c r="AB71" s="74">
        <f>4/1000</f>
        <v>0.004</v>
      </c>
      <c r="AC71" s="74" t="s">
        <v>257</v>
      </c>
      <c r="AD71" s="58" t="s">
        <v>258</v>
      </c>
      <c r="AE71" s="58" t="s">
        <v>19</v>
      </c>
      <c r="AF71" s="17">
        <f>6/1000</f>
        <v>0.006</v>
      </c>
      <c r="AG71" s="58"/>
      <c r="AH71" s="113">
        <f>7.4/1000</f>
        <v>0.0074</v>
      </c>
      <c r="AI71" s="58" t="s">
        <v>259</v>
      </c>
    </row>
    <row r="72" spans="1:35" s="17" customFormat="1" ht="31.5" customHeight="1" thickBot="1">
      <c r="A72" s="75" t="s">
        <v>75</v>
      </c>
      <c r="B72" s="119"/>
      <c r="C72" s="120"/>
      <c r="D72" s="120"/>
      <c r="E72" s="120"/>
      <c r="F72" s="120"/>
      <c r="G72" s="120"/>
      <c r="H72" s="52">
        <f t="shared" si="11"/>
        <v>0</v>
      </c>
      <c r="I72" s="52">
        <f t="shared" si="12"/>
        <v>0</v>
      </c>
      <c r="J72" s="53">
        <f t="shared" si="3"/>
        <v>0</v>
      </c>
      <c r="K72" s="54">
        <f t="shared" si="4"/>
        <v>0</v>
      </c>
      <c r="L72" s="55">
        <f t="shared" si="5"/>
        <v>0</v>
      </c>
      <c r="M72" s="55">
        <f t="shared" si="6"/>
        <v>0</v>
      </c>
      <c r="N72" s="55">
        <f t="shared" si="7"/>
        <v>0</v>
      </c>
      <c r="O72" s="53">
        <f t="shared" si="8"/>
        <v>0</v>
      </c>
      <c r="P72" s="54">
        <f t="shared" si="9"/>
        <v>0</v>
      </c>
      <c r="Q72" s="54">
        <f t="shared" si="10"/>
        <v>0</v>
      </c>
      <c r="R72" s="61">
        <v>1</v>
      </c>
      <c r="S72" s="17">
        <f>22/1000</f>
        <v>0.022</v>
      </c>
      <c r="T72" s="57">
        <f t="shared" si="2"/>
        <v>2.1999999999999997</v>
      </c>
      <c r="U72" s="15">
        <v>0</v>
      </c>
      <c r="V72" s="113" t="s">
        <v>356</v>
      </c>
      <c r="W72" s="58" t="s">
        <v>260</v>
      </c>
      <c r="AB72" s="74">
        <f>19.34/1000</f>
        <v>0.01934</v>
      </c>
      <c r="AC72" s="74" t="s">
        <v>159</v>
      </c>
      <c r="AD72" s="58" t="s">
        <v>260</v>
      </c>
      <c r="AE72" s="58" t="s">
        <v>19</v>
      </c>
      <c r="AF72" s="17">
        <f>17.94/1000</f>
        <v>0.01794</v>
      </c>
      <c r="AG72" s="58"/>
      <c r="AH72" s="113">
        <f>21.67/1000</f>
        <v>0.021670000000000002</v>
      </c>
      <c r="AI72" s="58" t="s">
        <v>261</v>
      </c>
    </row>
    <row r="73" spans="1:35" s="17" customFormat="1" ht="31.5" customHeight="1" thickBot="1">
      <c r="A73" s="76" t="s">
        <v>76</v>
      </c>
      <c r="B73" s="119"/>
      <c r="C73" s="120"/>
      <c r="D73" s="120"/>
      <c r="E73" s="120"/>
      <c r="F73" s="120"/>
      <c r="G73" s="120"/>
      <c r="H73" s="52">
        <f t="shared" si="11"/>
        <v>0</v>
      </c>
      <c r="I73" s="52">
        <f t="shared" si="12"/>
        <v>0</v>
      </c>
      <c r="J73" s="53">
        <f t="shared" si="3"/>
        <v>0</v>
      </c>
      <c r="K73" s="54">
        <f t="shared" si="4"/>
        <v>0</v>
      </c>
      <c r="L73" s="55">
        <f t="shared" si="5"/>
        <v>0</v>
      </c>
      <c r="M73" s="55">
        <f t="shared" si="6"/>
        <v>0</v>
      </c>
      <c r="N73" s="55">
        <f t="shared" si="7"/>
        <v>0</v>
      </c>
      <c r="O73" s="53">
        <f t="shared" si="8"/>
        <v>0</v>
      </c>
      <c r="P73" s="54">
        <f t="shared" si="9"/>
        <v>0</v>
      </c>
      <c r="Q73" s="54">
        <f t="shared" si="10"/>
        <v>0</v>
      </c>
      <c r="R73" s="15">
        <v>1</v>
      </c>
      <c r="S73" s="74">
        <f>12.67/1000</f>
        <v>0.01267</v>
      </c>
      <c r="T73" s="57">
        <f>S73*100</f>
        <v>1.2670000000000001</v>
      </c>
      <c r="U73" s="74">
        <v>0.3</v>
      </c>
      <c r="V73" s="113" t="s">
        <v>372</v>
      </c>
      <c r="W73" s="58" t="s">
        <v>196</v>
      </c>
      <c r="X73" s="74"/>
      <c r="Y73" s="74"/>
      <c r="Z73" s="74"/>
      <c r="AA73" s="74"/>
      <c r="AB73" s="74">
        <f>13.34/1000</f>
        <v>0.01334</v>
      </c>
      <c r="AC73" s="74" t="s">
        <v>161</v>
      </c>
      <c r="AD73" s="58" t="s">
        <v>196</v>
      </c>
      <c r="AE73" s="58" t="s">
        <v>40</v>
      </c>
      <c r="AF73" s="74">
        <f>13.34/1000</f>
        <v>0.01334</v>
      </c>
      <c r="AG73" s="58"/>
      <c r="AH73" s="113">
        <f>22.4/1000</f>
        <v>0.0224</v>
      </c>
      <c r="AI73" s="74" t="s">
        <v>197</v>
      </c>
    </row>
    <row r="74" spans="1:35" s="17" customFormat="1" ht="31.5" customHeight="1" thickBot="1">
      <c r="A74" s="76" t="s">
        <v>77</v>
      </c>
      <c r="B74" s="121"/>
      <c r="C74" s="120"/>
      <c r="D74" s="120"/>
      <c r="E74" s="120"/>
      <c r="F74" s="120"/>
      <c r="G74" s="120"/>
      <c r="H74" s="52">
        <f t="shared" si="11"/>
        <v>0</v>
      </c>
      <c r="I74" s="52">
        <f t="shared" si="12"/>
        <v>0</v>
      </c>
      <c r="J74" s="53">
        <f t="shared" si="3"/>
        <v>0</v>
      </c>
      <c r="K74" s="54">
        <f t="shared" si="4"/>
        <v>0</v>
      </c>
      <c r="L74" s="55">
        <f t="shared" si="5"/>
        <v>0</v>
      </c>
      <c r="M74" s="55">
        <f t="shared" si="6"/>
        <v>0</v>
      </c>
      <c r="N74" s="55">
        <f t="shared" si="7"/>
        <v>0</v>
      </c>
      <c r="O74" s="53">
        <f t="shared" si="8"/>
        <v>0</v>
      </c>
      <c r="P74" s="54">
        <f t="shared" si="9"/>
        <v>0</v>
      </c>
      <c r="Q74" s="54">
        <f t="shared" si="10"/>
        <v>0</v>
      </c>
      <c r="R74" s="17">
        <v>50</v>
      </c>
      <c r="S74" s="17">
        <f>4/1000</f>
        <v>0.004</v>
      </c>
      <c r="T74" s="57">
        <f t="shared" si="2"/>
        <v>0.4</v>
      </c>
      <c r="U74" s="17">
        <v>0</v>
      </c>
      <c r="V74" s="113" t="s">
        <v>356</v>
      </c>
      <c r="W74" s="58" t="s">
        <v>263</v>
      </c>
      <c r="AB74" s="74">
        <f>3.6/1000</f>
        <v>0.0036</v>
      </c>
      <c r="AC74" s="74" t="s">
        <v>159</v>
      </c>
      <c r="AD74" s="58" t="s">
        <v>263</v>
      </c>
      <c r="AE74" s="58" t="s">
        <v>19</v>
      </c>
      <c r="AF74" s="17">
        <v>0.0035</v>
      </c>
      <c r="AG74" s="58"/>
      <c r="AH74" s="113">
        <f>2/500</f>
        <v>0.004</v>
      </c>
      <c r="AI74" s="58" t="s">
        <v>262</v>
      </c>
    </row>
    <row r="75" spans="1:36" s="17" customFormat="1" ht="31.5" customHeight="1" thickBot="1">
      <c r="A75" s="76" t="s">
        <v>78</v>
      </c>
      <c r="B75" s="119"/>
      <c r="C75" s="120"/>
      <c r="D75" s="120"/>
      <c r="E75" s="120"/>
      <c r="F75" s="120"/>
      <c r="G75" s="120"/>
      <c r="H75" s="52">
        <f t="shared" si="11"/>
        <v>0</v>
      </c>
      <c r="I75" s="52">
        <f t="shared" si="12"/>
        <v>0</v>
      </c>
      <c r="J75" s="53">
        <f t="shared" si="3"/>
        <v>0</v>
      </c>
      <c r="K75" s="54">
        <f t="shared" si="4"/>
        <v>0</v>
      </c>
      <c r="L75" s="55">
        <f t="shared" si="5"/>
        <v>0</v>
      </c>
      <c r="M75" s="55">
        <f t="shared" si="6"/>
        <v>0</v>
      </c>
      <c r="N75" s="55">
        <f t="shared" si="7"/>
        <v>0</v>
      </c>
      <c r="O75" s="53">
        <f t="shared" si="8"/>
        <v>0</v>
      </c>
      <c r="P75" s="54">
        <f t="shared" si="9"/>
        <v>0</v>
      </c>
      <c r="Q75" s="54">
        <f t="shared" si="10"/>
        <v>0</v>
      </c>
      <c r="R75" s="58">
        <v>4</v>
      </c>
      <c r="S75" s="74">
        <f>8.34/1000</f>
        <v>0.00834</v>
      </c>
      <c r="T75" s="57">
        <f>S75*100</f>
        <v>0.8340000000000001</v>
      </c>
      <c r="U75" s="15">
        <v>0.1</v>
      </c>
      <c r="V75" s="113" t="s">
        <v>411</v>
      </c>
      <c r="W75" s="58" t="s">
        <v>253</v>
      </c>
      <c r="X75" s="74"/>
      <c r="Y75" s="74"/>
      <c r="Z75" s="74"/>
      <c r="AA75" s="74"/>
      <c r="AB75" s="74">
        <f>18.34/1000</f>
        <v>0.01834</v>
      </c>
      <c r="AC75" s="74" t="s">
        <v>159</v>
      </c>
      <c r="AD75" s="58" t="s">
        <v>253</v>
      </c>
      <c r="AE75" s="58" t="s">
        <v>19</v>
      </c>
      <c r="AF75" s="74">
        <f>11.12/1000</f>
        <v>0.01112</v>
      </c>
      <c r="AG75" s="58"/>
      <c r="AH75" s="113">
        <f>2.28/100</f>
        <v>0.022799999999999997</v>
      </c>
      <c r="AI75" s="58" t="s">
        <v>410</v>
      </c>
      <c r="AJ75" s="74"/>
    </row>
    <row r="76" spans="1:35" s="17" customFormat="1" ht="31.5" customHeight="1" thickBot="1">
      <c r="A76" s="76" t="s">
        <v>79</v>
      </c>
      <c r="B76" s="119"/>
      <c r="C76" s="120"/>
      <c r="D76" s="120"/>
      <c r="E76" s="120"/>
      <c r="F76" s="120"/>
      <c r="G76" s="120"/>
      <c r="H76" s="52">
        <f t="shared" si="11"/>
        <v>0</v>
      </c>
      <c r="I76" s="52">
        <f t="shared" si="12"/>
        <v>0</v>
      </c>
      <c r="J76" s="53">
        <f t="shared" si="3"/>
        <v>0</v>
      </c>
      <c r="K76" s="54">
        <f t="shared" si="4"/>
        <v>0</v>
      </c>
      <c r="L76" s="55">
        <f t="shared" si="5"/>
        <v>0</v>
      </c>
      <c r="M76" s="55">
        <f t="shared" si="6"/>
        <v>0</v>
      </c>
      <c r="N76" s="55">
        <f t="shared" si="7"/>
        <v>0</v>
      </c>
      <c r="O76" s="53">
        <f t="shared" si="8"/>
        <v>0</v>
      </c>
      <c r="P76" s="54">
        <f t="shared" si="9"/>
        <v>0</v>
      </c>
      <c r="Q76" s="54">
        <f t="shared" si="10"/>
        <v>0</v>
      </c>
      <c r="R76" s="61">
        <v>250</v>
      </c>
      <c r="S76" s="17">
        <f>4/1000</f>
        <v>0.004</v>
      </c>
      <c r="T76" s="57">
        <f t="shared" si="2"/>
        <v>0.4</v>
      </c>
      <c r="U76" s="17">
        <v>0</v>
      </c>
      <c r="V76" s="113" t="s">
        <v>373</v>
      </c>
      <c r="W76" s="58" t="s">
        <v>264</v>
      </c>
      <c r="AB76" s="74">
        <f>5/1000</f>
        <v>0.005</v>
      </c>
      <c r="AC76" s="74" t="s">
        <v>198</v>
      </c>
      <c r="AD76" s="58" t="s">
        <v>264</v>
      </c>
      <c r="AE76" s="58" t="s">
        <v>81</v>
      </c>
      <c r="AF76" s="17">
        <v>0.004</v>
      </c>
      <c r="AG76" s="58"/>
      <c r="AH76" s="113">
        <f>10.56/1000</f>
        <v>0.01056</v>
      </c>
      <c r="AI76" s="58" t="s">
        <v>265</v>
      </c>
    </row>
    <row r="77" spans="1:35" s="17" customFormat="1" ht="31.5" customHeight="1" thickBot="1">
      <c r="A77" s="77" t="s">
        <v>80</v>
      </c>
      <c r="B77" s="119"/>
      <c r="C77" s="120"/>
      <c r="D77" s="120"/>
      <c r="E77" s="120"/>
      <c r="F77" s="120"/>
      <c r="G77" s="120"/>
      <c r="H77" s="52">
        <f t="shared" si="11"/>
        <v>0</v>
      </c>
      <c r="I77" s="52">
        <f t="shared" si="12"/>
        <v>0</v>
      </c>
      <c r="J77" s="53">
        <f t="shared" si="3"/>
        <v>0</v>
      </c>
      <c r="K77" s="54">
        <f t="shared" si="4"/>
        <v>0</v>
      </c>
      <c r="L77" s="55">
        <f t="shared" si="5"/>
        <v>0</v>
      </c>
      <c r="M77" s="55">
        <f t="shared" si="6"/>
        <v>0</v>
      </c>
      <c r="N77" s="55">
        <f t="shared" si="7"/>
        <v>0</v>
      </c>
      <c r="O77" s="53">
        <f t="shared" si="8"/>
        <v>0</v>
      </c>
      <c r="P77" s="54">
        <f t="shared" si="9"/>
        <v>0</v>
      </c>
      <c r="Q77" s="54">
        <f t="shared" si="10"/>
        <v>0</v>
      </c>
      <c r="R77" s="17">
        <v>75</v>
      </c>
      <c r="S77" s="17">
        <f>0.208/75</f>
        <v>0.0027733333333333334</v>
      </c>
      <c r="T77" s="57">
        <f t="shared" si="2"/>
        <v>0.2773333333333333</v>
      </c>
      <c r="U77" s="17">
        <v>1</v>
      </c>
      <c r="V77" s="113" t="s">
        <v>373</v>
      </c>
      <c r="W77" s="58" t="s">
        <v>388</v>
      </c>
      <c r="AB77" s="74">
        <f>0.2/75</f>
        <v>0.002666666666666667</v>
      </c>
      <c r="AC77" s="74" t="s">
        <v>198</v>
      </c>
      <c r="AD77" s="58" t="s">
        <v>266</v>
      </c>
      <c r="AE77" s="58" t="s">
        <v>81</v>
      </c>
      <c r="AF77" s="17">
        <f>0.2/75</f>
        <v>0.002666666666666667</v>
      </c>
      <c r="AG77" s="58"/>
      <c r="AH77" s="113">
        <f>0.738/75</f>
        <v>0.00984</v>
      </c>
      <c r="AI77" s="58" t="s">
        <v>389</v>
      </c>
    </row>
    <row r="78" spans="1:35" s="17" customFormat="1" ht="31.5" customHeight="1" thickBot="1">
      <c r="A78" s="76" t="s">
        <v>82</v>
      </c>
      <c r="B78" s="119"/>
      <c r="C78" s="120"/>
      <c r="D78" s="120"/>
      <c r="E78" s="120"/>
      <c r="F78" s="120"/>
      <c r="G78" s="120"/>
      <c r="H78" s="52">
        <f t="shared" si="11"/>
        <v>0</v>
      </c>
      <c r="I78" s="52">
        <f t="shared" si="12"/>
        <v>0</v>
      </c>
      <c r="J78" s="53">
        <f t="shared" si="3"/>
        <v>0</v>
      </c>
      <c r="K78" s="54">
        <f t="shared" si="4"/>
        <v>0</v>
      </c>
      <c r="L78" s="55">
        <f t="shared" si="5"/>
        <v>0</v>
      </c>
      <c r="M78" s="55">
        <f t="shared" si="6"/>
        <v>0</v>
      </c>
      <c r="N78" s="55">
        <f t="shared" si="7"/>
        <v>0</v>
      </c>
      <c r="O78" s="53">
        <f t="shared" si="8"/>
        <v>0</v>
      </c>
      <c r="P78" s="54">
        <f t="shared" si="9"/>
        <v>0</v>
      </c>
      <c r="Q78" s="54">
        <f t="shared" si="10"/>
        <v>0</v>
      </c>
      <c r="R78" s="15">
        <v>150</v>
      </c>
      <c r="S78" s="17">
        <f>8.25/1000</f>
        <v>0.00825</v>
      </c>
      <c r="T78" s="57">
        <f t="shared" si="2"/>
        <v>0.8250000000000001</v>
      </c>
      <c r="U78" s="17">
        <v>0</v>
      </c>
      <c r="V78" s="113" t="s">
        <v>412</v>
      </c>
      <c r="W78" s="58" t="s">
        <v>267</v>
      </c>
      <c r="AB78" s="74">
        <f>7.5/1000</f>
        <v>0.0075</v>
      </c>
      <c r="AC78" s="74" t="s">
        <v>160</v>
      </c>
      <c r="AD78" s="58" t="s">
        <v>267</v>
      </c>
      <c r="AE78" s="58" t="s">
        <v>81</v>
      </c>
      <c r="AF78" s="17">
        <f>1.2/150</f>
        <v>0.008</v>
      </c>
      <c r="AG78" s="58"/>
      <c r="AH78" s="113">
        <f>2.15/150</f>
        <v>0.014333333333333333</v>
      </c>
      <c r="AI78" s="58" t="s">
        <v>268</v>
      </c>
    </row>
    <row r="79" spans="1:35" s="17" customFormat="1" ht="31.5" customHeight="1" thickBot="1">
      <c r="A79" s="75" t="s">
        <v>83</v>
      </c>
      <c r="B79" s="121"/>
      <c r="C79" s="120"/>
      <c r="D79" s="120"/>
      <c r="E79" s="120"/>
      <c r="F79" s="120"/>
      <c r="G79" s="120"/>
      <c r="H79" s="52">
        <f t="shared" si="11"/>
        <v>0</v>
      </c>
      <c r="I79" s="52">
        <f t="shared" si="12"/>
        <v>0</v>
      </c>
      <c r="J79" s="53">
        <f t="shared" si="3"/>
        <v>0</v>
      </c>
      <c r="K79" s="54">
        <f t="shared" si="4"/>
        <v>0</v>
      </c>
      <c r="L79" s="55">
        <f t="shared" si="5"/>
        <v>0</v>
      </c>
      <c r="M79" s="55">
        <f t="shared" si="6"/>
        <v>0</v>
      </c>
      <c r="N79" s="55">
        <f t="shared" si="7"/>
        <v>0</v>
      </c>
      <c r="O79" s="53">
        <f t="shared" si="8"/>
        <v>0</v>
      </c>
      <c r="P79" s="54">
        <f t="shared" si="9"/>
        <v>0</v>
      </c>
      <c r="Q79" s="54">
        <f t="shared" si="10"/>
        <v>0</v>
      </c>
      <c r="R79" s="17">
        <v>150</v>
      </c>
      <c r="S79" s="17">
        <f>2.8/1000</f>
        <v>0.0028</v>
      </c>
      <c r="T79" s="57">
        <f t="shared" si="2"/>
        <v>0.27999999999999997</v>
      </c>
      <c r="U79" s="17">
        <v>0</v>
      </c>
      <c r="V79" s="113" t="s">
        <v>373</v>
      </c>
      <c r="W79" s="58" t="s">
        <v>269</v>
      </c>
      <c r="AB79" s="74">
        <f>2.6/1000</f>
        <v>0.0026</v>
      </c>
      <c r="AC79" s="74" t="s">
        <v>198</v>
      </c>
      <c r="AD79" s="58" t="s">
        <v>269</v>
      </c>
      <c r="AE79" s="58" t="s">
        <v>19</v>
      </c>
      <c r="AF79" s="17">
        <f>2.3/1000</f>
        <v>0.0023</v>
      </c>
      <c r="AG79" s="58"/>
      <c r="AH79" s="113">
        <f>5.72/1000</f>
        <v>0.005719999999999999</v>
      </c>
      <c r="AI79" s="58" t="s">
        <v>270</v>
      </c>
    </row>
    <row r="80" spans="1:35" s="17" customFormat="1" ht="31.5" customHeight="1" thickBot="1">
      <c r="A80" s="76" t="s">
        <v>84</v>
      </c>
      <c r="B80" s="119"/>
      <c r="C80" s="120"/>
      <c r="D80" s="120"/>
      <c r="E80" s="120"/>
      <c r="F80" s="120"/>
      <c r="G80" s="120"/>
      <c r="H80" s="52">
        <f t="shared" si="11"/>
        <v>0</v>
      </c>
      <c r="I80" s="52">
        <f t="shared" si="12"/>
        <v>0</v>
      </c>
      <c r="J80" s="53">
        <f t="shared" si="3"/>
        <v>0</v>
      </c>
      <c r="K80" s="54">
        <f t="shared" si="4"/>
        <v>0</v>
      </c>
      <c r="L80" s="55">
        <f t="shared" si="5"/>
        <v>0</v>
      </c>
      <c r="M80" s="55">
        <f t="shared" si="6"/>
        <v>0</v>
      </c>
      <c r="N80" s="55">
        <f t="shared" si="7"/>
        <v>0</v>
      </c>
      <c r="O80" s="53">
        <f t="shared" si="8"/>
        <v>0</v>
      </c>
      <c r="P80" s="54">
        <f t="shared" si="9"/>
        <v>0</v>
      </c>
      <c r="Q80" s="54">
        <f t="shared" si="10"/>
        <v>0</v>
      </c>
      <c r="R80" s="17">
        <v>80</v>
      </c>
      <c r="S80" s="17">
        <f>0.3/80</f>
        <v>0.00375</v>
      </c>
      <c r="T80" s="57">
        <f t="shared" si="2"/>
        <v>0.375</v>
      </c>
      <c r="U80" s="17">
        <v>0.2</v>
      </c>
      <c r="V80" s="113" t="s">
        <v>373</v>
      </c>
      <c r="W80" s="58" t="s">
        <v>390</v>
      </c>
      <c r="AB80" s="74">
        <f>0.35/80</f>
        <v>0.0043749999999999995</v>
      </c>
      <c r="AC80" s="74" t="s">
        <v>198</v>
      </c>
      <c r="AD80" s="58" t="s">
        <v>271</v>
      </c>
      <c r="AE80" s="58" t="s">
        <v>19</v>
      </c>
      <c r="AF80" s="17">
        <f>0.39/80</f>
        <v>0.004875</v>
      </c>
      <c r="AG80" s="58"/>
      <c r="AH80" s="113">
        <f>0.7/80</f>
        <v>0.008749999999999999</v>
      </c>
      <c r="AI80" s="58" t="s">
        <v>272</v>
      </c>
    </row>
    <row r="81" spans="1:35" s="17" customFormat="1" ht="31.5" customHeight="1" thickBot="1">
      <c r="A81" s="75" t="s">
        <v>157</v>
      </c>
      <c r="B81" s="119"/>
      <c r="C81" s="120"/>
      <c r="D81" s="120"/>
      <c r="E81" s="120"/>
      <c r="F81" s="120"/>
      <c r="G81" s="120"/>
      <c r="H81" s="52">
        <f t="shared" si="11"/>
        <v>0</v>
      </c>
      <c r="I81" s="52">
        <f t="shared" si="12"/>
        <v>0</v>
      </c>
      <c r="J81" s="53">
        <f t="shared" si="3"/>
        <v>0</v>
      </c>
      <c r="K81" s="54">
        <f t="shared" si="4"/>
        <v>0</v>
      </c>
      <c r="L81" s="55">
        <f t="shared" si="5"/>
        <v>0</v>
      </c>
      <c r="M81" s="55">
        <f t="shared" si="6"/>
        <v>0</v>
      </c>
      <c r="N81" s="55">
        <f t="shared" si="7"/>
        <v>0</v>
      </c>
      <c r="O81" s="53">
        <f t="shared" si="8"/>
        <v>0</v>
      </c>
      <c r="P81" s="54">
        <f t="shared" si="9"/>
        <v>0</v>
      </c>
      <c r="Q81" s="54">
        <f t="shared" si="10"/>
        <v>0</v>
      </c>
      <c r="R81" s="17">
        <v>1</v>
      </c>
      <c r="S81" s="17">
        <f>0.95/100</f>
        <v>0.0095</v>
      </c>
      <c r="T81" s="57">
        <f t="shared" si="2"/>
        <v>0.95</v>
      </c>
      <c r="U81" s="17">
        <v>0</v>
      </c>
      <c r="V81" s="113" t="s">
        <v>373</v>
      </c>
      <c r="W81" s="58" t="s">
        <v>274</v>
      </c>
      <c r="AB81" s="74">
        <f>1/100</f>
        <v>0.01</v>
      </c>
      <c r="AC81" s="74" t="s">
        <v>198</v>
      </c>
      <c r="AD81" s="58" t="s">
        <v>274</v>
      </c>
      <c r="AE81" s="58" t="s">
        <v>19</v>
      </c>
      <c r="AF81" s="17">
        <f>1/100</f>
        <v>0.01</v>
      </c>
      <c r="AG81" s="58"/>
      <c r="AH81" s="113">
        <f>2.15/100</f>
        <v>0.0215</v>
      </c>
      <c r="AI81" s="58" t="s">
        <v>273</v>
      </c>
    </row>
    <row r="82" spans="1:35" s="17" customFormat="1" ht="31.5" customHeight="1" thickBot="1">
      <c r="A82" s="76" t="s">
        <v>85</v>
      </c>
      <c r="B82" s="119"/>
      <c r="C82" s="120"/>
      <c r="D82" s="120"/>
      <c r="E82" s="120"/>
      <c r="F82" s="120"/>
      <c r="G82" s="120"/>
      <c r="H82" s="52">
        <f t="shared" si="11"/>
        <v>0</v>
      </c>
      <c r="I82" s="52">
        <f t="shared" si="12"/>
        <v>0</v>
      </c>
      <c r="J82" s="53">
        <f t="shared" si="3"/>
        <v>0</v>
      </c>
      <c r="K82" s="54">
        <f t="shared" si="4"/>
        <v>0</v>
      </c>
      <c r="L82" s="55">
        <f t="shared" si="5"/>
        <v>0</v>
      </c>
      <c r="M82" s="55">
        <f t="shared" si="6"/>
        <v>0</v>
      </c>
      <c r="N82" s="55">
        <f t="shared" si="7"/>
        <v>0</v>
      </c>
      <c r="O82" s="53">
        <f t="shared" si="8"/>
        <v>0</v>
      </c>
      <c r="P82" s="54">
        <f t="shared" si="9"/>
        <v>0</v>
      </c>
      <c r="Q82" s="54">
        <f t="shared" si="10"/>
        <v>0</v>
      </c>
      <c r="R82" s="15">
        <v>70</v>
      </c>
      <c r="S82" s="17">
        <f>0.26/70</f>
        <v>0.0037142857142857142</v>
      </c>
      <c r="T82" s="57">
        <f t="shared" si="2"/>
        <v>0.37142857142857144</v>
      </c>
      <c r="U82" s="15">
        <v>0.2</v>
      </c>
      <c r="V82" s="113" t="s">
        <v>373</v>
      </c>
      <c r="W82" s="58" t="s">
        <v>275</v>
      </c>
      <c r="AB82" s="74">
        <f>0.34/70</f>
        <v>0.004857142857142858</v>
      </c>
      <c r="AC82" s="74" t="s">
        <v>198</v>
      </c>
      <c r="AD82" s="58" t="s">
        <v>275</v>
      </c>
      <c r="AE82" s="58" t="s">
        <v>19</v>
      </c>
      <c r="AF82" s="17">
        <f>0.39/70</f>
        <v>0.005571428571428572</v>
      </c>
      <c r="AG82" s="58"/>
      <c r="AH82" s="113">
        <f>(3.45/4)/70</f>
        <v>0.012321428571428572</v>
      </c>
      <c r="AI82" s="58" t="s">
        <v>413</v>
      </c>
    </row>
    <row r="83" spans="1:35" s="17" customFormat="1" ht="31.5" customHeight="1" thickBot="1">
      <c r="A83" s="75" t="s">
        <v>86</v>
      </c>
      <c r="B83" s="119"/>
      <c r="C83" s="120"/>
      <c r="D83" s="120"/>
      <c r="E83" s="120"/>
      <c r="F83" s="120"/>
      <c r="G83" s="120"/>
      <c r="H83" s="52">
        <f t="shared" si="11"/>
        <v>0</v>
      </c>
      <c r="I83" s="52">
        <f t="shared" si="12"/>
        <v>0</v>
      </c>
      <c r="J83" s="53">
        <f t="shared" si="3"/>
        <v>0</v>
      </c>
      <c r="K83" s="54">
        <f t="shared" si="4"/>
        <v>0</v>
      </c>
      <c r="L83" s="55">
        <f t="shared" si="5"/>
        <v>0</v>
      </c>
      <c r="M83" s="55">
        <f t="shared" si="6"/>
        <v>0</v>
      </c>
      <c r="N83" s="55">
        <f t="shared" si="7"/>
        <v>0</v>
      </c>
      <c r="O83" s="53">
        <f t="shared" si="8"/>
        <v>0</v>
      </c>
      <c r="P83" s="54">
        <f t="shared" si="9"/>
        <v>0</v>
      </c>
      <c r="Q83" s="54">
        <f t="shared" si="10"/>
        <v>0</v>
      </c>
      <c r="R83" s="61">
        <v>4</v>
      </c>
      <c r="S83" s="56">
        <f>14.67/1000</f>
        <v>0.01467</v>
      </c>
      <c r="T83" s="57">
        <f t="shared" si="2"/>
        <v>1.467</v>
      </c>
      <c r="U83" s="15">
        <v>0.1</v>
      </c>
      <c r="V83" s="113" t="s">
        <v>373</v>
      </c>
      <c r="W83" s="58" t="s">
        <v>190</v>
      </c>
      <c r="X83" s="17" t="s">
        <v>391</v>
      </c>
      <c r="AB83" s="56">
        <f>2.5/150</f>
        <v>0.016666666666666666</v>
      </c>
      <c r="AC83" s="74" t="s">
        <v>189</v>
      </c>
      <c r="AD83" s="58" t="s">
        <v>190</v>
      </c>
      <c r="AE83" s="58" t="s">
        <v>32</v>
      </c>
      <c r="AF83" s="56">
        <f>2.5/150</f>
        <v>0.016666666666666666</v>
      </c>
      <c r="AG83" s="58"/>
      <c r="AH83" s="113">
        <f>3.36/100</f>
        <v>0.0336</v>
      </c>
      <c r="AI83" s="74" t="s">
        <v>395</v>
      </c>
    </row>
    <row r="84" spans="1:35" s="72" customFormat="1" ht="31.5" customHeight="1" thickBot="1">
      <c r="A84" s="78" t="s">
        <v>87</v>
      </c>
      <c r="B84" s="119"/>
      <c r="C84" s="120"/>
      <c r="D84" s="120"/>
      <c r="E84" s="120"/>
      <c r="F84" s="120"/>
      <c r="G84" s="120"/>
      <c r="H84" s="68">
        <f t="shared" si="11"/>
        <v>0</v>
      </c>
      <c r="I84" s="68">
        <f t="shared" si="12"/>
        <v>0</v>
      </c>
      <c r="J84" s="69">
        <f t="shared" si="3"/>
        <v>0</v>
      </c>
      <c r="K84" s="70">
        <f t="shared" si="4"/>
        <v>0</v>
      </c>
      <c r="L84" s="70">
        <f t="shared" si="5"/>
        <v>0</v>
      </c>
      <c r="M84" s="70">
        <f t="shared" si="6"/>
        <v>0</v>
      </c>
      <c r="N84" s="70">
        <f t="shared" si="7"/>
        <v>0</v>
      </c>
      <c r="O84" s="69">
        <f t="shared" si="8"/>
        <v>0</v>
      </c>
      <c r="P84" s="70">
        <f t="shared" si="9"/>
        <v>0</v>
      </c>
      <c r="Q84" s="70">
        <f t="shared" si="10"/>
        <v>0</v>
      </c>
      <c r="R84" s="71">
        <v>15</v>
      </c>
      <c r="S84" s="72">
        <f>(3.55/3)/250</f>
        <v>0.004733333333333333</v>
      </c>
      <c r="T84" s="73">
        <f t="shared" si="2"/>
        <v>0.47333333333333333</v>
      </c>
      <c r="U84" s="72">
        <v>0.5</v>
      </c>
      <c r="V84" s="113" t="s">
        <v>398</v>
      </c>
      <c r="W84" s="70" t="s">
        <v>307</v>
      </c>
      <c r="X84" s="72" t="s">
        <v>308</v>
      </c>
      <c r="AB84" s="72">
        <f>(3.55/3)/250</f>
        <v>0.004733333333333333</v>
      </c>
      <c r="AC84" s="72" t="s">
        <v>193</v>
      </c>
      <c r="AD84" s="70" t="s">
        <v>307</v>
      </c>
      <c r="AE84" s="70" t="s">
        <v>64</v>
      </c>
      <c r="AF84" s="72">
        <v>0.005</v>
      </c>
      <c r="AG84" s="70"/>
      <c r="AH84" s="113">
        <f>(3.55/3)/250</f>
        <v>0.004733333333333333</v>
      </c>
      <c r="AI84" s="70" t="s">
        <v>307</v>
      </c>
    </row>
    <row r="85" spans="1:35" s="17" customFormat="1" ht="31.5" customHeight="1" thickBot="1">
      <c r="A85" s="77" t="s">
        <v>88</v>
      </c>
      <c r="B85" s="119"/>
      <c r="C85" s="120"/>
      <c r="D85" s="120"/>
      <c r="E85" s="120"/>
      <c r="F85" s="120"/>
      <c r="G85" s="120"/>
      <c r="H85" s="52">
        <f t="shared" si="11"/>
        <v>0</v>
      </c>
      <c r="I85" s="52">
        <f t="shared" si="12"/>
        <v>0</v>
      </c>
      <c r="J85" s="53">
        <f t="shared" si="3"/>
        <v>0</v>
      </c>
      <c r="K85" s="54">
        <f t="shared" si="4"/>
        <v>0</v>
      </c>
      <c r="L85" s="55">
        <f t="shared" si="5"/>
        <v>0</v>
      </c>
      <c r="M85" s="55">
        <f t="shared" si="6"/>
        <v>0</v>
      </c>
      <c r="N85" s="55">
        <f t="shared" si="7"/>
        <v>0</v>
      </c>
      <c r="O85" s="53">
        <f t="shared" si="8"/>
        <v>0</v>
      </c>
      <c r="P85" s="54">
        <f t="shared" si="9"/>
        <v>0</v>
      </c>
      <c r="Q85" s="54">
        <f t="shared" si="10"/>
        <v>0</v>
      </c>
      <c r="R85" s="17">
        <v>1</v>
      </c>
      <c r="S85" s="56">
        <f>14.67/1000</f>
        <v>0.01467</v>
      </c>
      <c r="T85" s="57">
        <f>S85*100</f>
        <v>1.467</v>
      </c>
      <c r="U85" s="15">
        <v>0.1</v>
      </c>
      <c r="V85" s="113" t="s">
        <v>373</v>
      </c>
      <c r="W85" s="58" t="s">
        <v>190</v>
      </c>
      <c r="X85" s="74" t="s">
        <v>391</v>
      </c>
      <c r="Y85" s="74"/>
      <c r="Z85" s="74"/>
      <c r="AB85" s="56">
        <f>13.4/1000</f>
        <v>0.0134</v>
      </c>
      <c r="AC85" s="74" t="s">
        <v>276</v>
      </c>
      <c r="AD85" s="58" t="s">
        <v>190</v>
      </c>
      <c r="AE85" s="58" t="s">
        <v>32</v>
      </c>
      <c r="AF85" s="56">
        <f>2.5/150</f>
        <v>0.016666666666666666</v>
      </c>
      <c r="AG85" s="58"/>
      <c r="AH85" s="113">
        <f>3.36/100</f>
        <v>0.0336</v>
      </c>
      <c r="AI85" s="74" t="s">
        <v>395</v>
      </c>
    </row>
    <row r="86" spans="1:35" s="17" customFormat="1" ht="31.5" customHeight="1" thickBot="1">
      <c r="A86" s="76" t="s">
        <v>89</v>
      </c>
      <c r="B86" s="119"/>
      <c r="C86" s="120"/>
      <c r="D86" s="120"/>
      <c r="E86" s="120"/>
      <c r="F86" s="120"/>
      <c r="G86" s="120"/>
      <c r="H86" s="52">
        <f t="shared" si="11"/>
        <v>0</v>
      </c>
      <c r="I86" s="52">
        <f t="shared" si="12"/>
        <v>0</v>
      </c>
      <c r="J86" s="53">
        <f t="shared" si="3"/>
        <v>0</v>
      </c>
      <c r="K86" s="54">
        <f t="shared" si="4"/>
        <v>0</v>
      </c>
      <c r="L86" s="55">
        <f t="shared" si="5"/>
        <v>0</v>
      </c>
      <c r="M86" s="55">
        <f t="shared" si="6"/>
        <v>0</v>
      </c>
      <c r="N86" s="55">
        <f t="shared" si="7"/>
        <v>0</v>
      </c>
      <c r="O86" s="53">
        <f t="shared" si="8"/>
        <v>0</v>
      </c>
      <c r="P86" s="54">
        <f t="shared" si="9"/>
        <v>0</v>
      </c>
      <c r="Q86" s="54">
        <f t="shared" si="10"/>
        <v>0</v>
      </c>
      <c r="R86" s="61">
        <v>10</v>
      </c>
      <c r="S86" s="17">
        <f>3.34/1000</f>
        <v>0.0033399999999999997</v>
      </c>
      <c r="T86" s="17">
        <v>0.0033333333333333335</v>
      </c>
      <c r="U86" s="17">
        <v>0</v>
      </c>
      <c r="V86" s="113" t="s">
        <v>373</v>
      </c>
      <c r="W86" s="58" t="s">
        <v>277</v>
      </c>
      <c r="AB86" s="74">
        <f>3.34/1000</f>
        <v>0.0033399999999999997</v>
      </c>
      <c r="AC86" s="74" t="s">
        <v>198</v>
      </c>
      <c r="AD86" s="58" t="s">
        <v>277</v>
      </c>
      <c r="AE86" s="58" t="s">
        <v>19</v>
      </c>
      <c r="AF86" s="17">
        <v>0.0033333333333333335</v>
      </c>
      <c r="AG86" s="58"/>
      <c r="AH86" s="113">
        <f>5.2/1000</f>
        <v>0.0052</v>
      </c>
      <c r="AI86" s="58" t="s">
        <v>278</v>
      </c>
    </row>
    <row r="87" spans="1:35" s="17" customFormat="1" ht="31.5" customHeight="1" thickBot="1">
      <c r="A87" s="77" t="s">
        <v>90</v>
      </c>
      <c r="B87" s="119"/>
      <c r="C87" s="120"/>
      <c r="D87" s="120"/>
      <c r="E87" s="120"/>
      <c r="F87" s="120"/>
      <c r="G87" s="120"/>
      <c r="H87" s="52">
        <f t="shared" si="11"/>
        <v>0</v>
      </c>
      <c r="I87" s="52">
        <f t="shared" si="12"/>
        <v>0</v>
      </c>
      <c r="J87" s="53">
        <f t="shared" si="3"/>
        <v>0</v>
      </c>
      <c r="K87" s="54">
        <f t="shared" si="4"/>
        <v>0</v>
      </c>
      <c r="L87" s="55">
        <f t="shared" si="5"/>
        <v>0</v>
      </c>
      <c r="M87" s="55">
        <f t="shared" si="6"/>
        <v>0</v>
      </c>
      <c r="N87" s="55">
        <f t="shared" si="7"/>
        <v>0</v>
      </c>
      <c r="O87" s="53">
        <f t="shared" si="8"/>
        <v>0</v>
      </c>
      <c r="P87" s="54">
        <f t="shared" si="9"/>
        <v>0</v>
      </c>
      <c r="Q87" s="54">
        <f t="shared" si="10"/>
        <v>0</v>
      </c>
      <c r="R87" s="17">
        <v>150</v>
      </c>
      <c r="S87" s="17">
        <f>0.65/150</f>
        <v>0.004333333333333333</v>
      </c>
      <c r="T87" s="57">
        <f aca="true" t="shared" si="13" ref="T87:T123">S87*100</f>
        <v>0.4333333333333333</v>
      </c>
      <c r="U87" s="17">
        <v>0.6</v>
      </c>
      <c r="V87" s="113" t="s">
        <v>198</v>
      </c>
      <c r="W87" s="58" t="s">
        <v>280</v>
      </c>
      <c r="AB87" s="74">
        <f>0.8/150</f>
        <v>0.005333333333333334</v>
      </c>
      <c r="AC87" s="74" t="s">
        <v>198</v>
      </c>
      <c r="AD87" s="58" t="s">
        <v>280</v>
      </c>
      <c r="AE87" s="58" t="s">
        <v>19</v>
      </c>
      <c r="AF87" s="17">
        <f>0.748/150</f>
        <v>0.004986666666666667</v>
      </c>
      <c r="AG87" s="58"/>
      <c r="AH87" s="113">
        <f>0.8/150</f>
        <v>0.005333333333333334</v>
      </c>
      <c r="AI87" s="58" t="s">
        <v>279</v>
      </c>
    </row>
    <row r="88" spans="1:35" s="17" customFormat="1" ht="31.5" customHeight="1" thickBot="1">
      <c r="A88" s="75" t="s">
        <v>91</v>
      </c>
      <c r="B88" s="121"/>
      <c r="C88" s="120"/>
      <c r="D88" s="120"/>
      <c r="E88" s="120"/>
      <c r="F88" s="120"/>
      <c r="G88" s="120"/>
      <c r="H88" s="52">
        <f aca="true" t="shared" si="14" ref="H88:H123">P88</f>
        <v>0</v>
      </c>
      <c r="I88" s="52">
        <f aca="true" t="shared" si="15" ref="I88:I123">Q88</f>
        <v>0</v>
      </c>
      <c r="J88" s="53">
        <f t="shared" si="3"/>
        <v>0</v>
      </c>
      <c r="K88" s="54">
        <f t="shared" si="4"/>
        <v>0</v>
      </c>
      <c r="L88" s="55">
        <f t="shared" si="5"/>
        <v>0</v>
      </c>
      <c r="M88" s="55">
        <f t="shared" si="6"/>
        <v>0</v>
      </c>
      <c r="N88" s="55">
        <f t="shared" si="7"/>
        <v>0</v>
      </c>
      <c r="O88" s="53">
        <f t="shared" si="8"/>
        <v>0</v>
      </c>
      <c r="P88" s="54">
        <f t="shared" si="9"/>
        <v>0</v>
      </c>
      <c r="Q88" s="54">
        <f t="shared" si="10"/>
        <v>0</v>
      </c>
      <c r="R88" s="61">
        <v>100</v>
      </c>
      <c r="S88" s="17">
        <f>1/1000</f>
        <v>0.001</v>
      </c>
      <c r="T88" s="57">
        <f t="shared" si="13"/>
        <v>0.1</v>
      </c>
      <c r="U88" s="17">
        <v>0</v>
      </c>
      <c r="V88" s="113" t="s">
        <v>198</v>
      </c>
      <c r="W88" s="58" t="s">
        <v>281</v>
      </c>
      <c r="AB88" s="74">
        <f>1/1000</f>
        <v>0.001</v>
      </c>
      <c r="AC88" s="74" t="s">
        <v>198</v>
      </c>
      <c r="AD88" s="58" t="s">
        <v>281</v>
      </c>
      <c r="AE88" s="58" t="s">
        <v>93</v>
      </c>
      <c r="AF88" s="17">
        <f>1/1000</f>
        <v>0.001</v>
      </c>
      <c r="AG88" s="58"/>
      <c r="AH88" s="113">
        <f>2.14/1000</f>
        <v>0.00214</v>
      </c>
      <c r="AI88" s="58" t="s">
        <v>282</v>
      </c>
    </row>
    <row r="89" spans="1:35" s="17" customFormat="1" ht="31.5" customHeight="1" thickBot="1">
      <c r="A89" s="75" t="s">
        <v>92</v>
      </c>
      <c r="B89" s="121"/>
      <c r="C89" s="120"/>
      <c r="D89" s="120"/>
      <c r="E89" s="120"/>
      <c r="F89" s="120"/>
      <c r="G89" s="120"/>
      <c r="H89" s="52">
        <f t="shared" si="14"/>
        <v>0</v>
      </c>
      <c r="I89" s="52">
        <f t="shared" si="15"/>
        <v>0</v>
      </c>
      <c r="J89" s="53">
        <f aca="true" t="shared" si="16" ref="J89:J123">D89*R89</f>
        <v>0</v>
      </c>
      <c r="K89" s="54">
        <f aca="true" t="shared" si="17" ref="K89:K123">C89*28.3495</f>
        <v>0</v>
      </c>
      <c r="L89" s="55">
        <f aca="true" t="shared" si="18" ref="L89:L123">E89*100</f>
        <v>0</v>
      </c>
      <c r="M89" s="55">
        <f aca="true" t="shared" si="19" ref="M89:M123">F89*300</f>
        <v>0</v>
      </c>
      <c r="N89" s="55">
        <f aca="true" t="shared" si="20" ref="N89:N123">G89*120</f>
        <v>0</v>
      </c>
      <c r="O89" s="53">
        <f aca="true" t="shared" si="21" ref="O89:O123">B89+SUM(J89:N89)</f>
        <v>0</v>
      </c>
      <c r="P89" s="54">
        <f aca="true" t="shared" si="22" ref="P89:P123">S89*O89</f>
        <v>0</v>
      </c>
      <c r="Q89" s="54">
        <f aca="true" t="shared" si="23" ref="Q89:Q123">P89*U89</f>
        <v>0</v>
      </c>
      <c r="R89" s="61">
        <v>40</v>
      </c>
      <c r="S89" s="17">
        <f>3.25/1000</f>
        <v>0.00325</v>
      </c>
      <c r="T89" s="57">
        <f t="shared" si="13"/>
        <v>0.325</v>
      </c>
      <c r="U89" s="17">
        <v>0</v>
      </c>
      <c r="V89" s="113" t="s">
        <v>356</v>
      </c>
      <c r="W89" s="58" t="s">
        <v>284</v>
      </c>
      <c r="AB89" s="74">
        <f>3.25/1000</f>
        <v>0.00325</v>
      </c>
      <c r="AC89" s="74" t="s">
        <v>159</v>
      </c>
      <c r="AD89" s="58" t="s">
        <v>284</v>
      </c>
      <c r="AE89" s="58" t="s">
        <v>19</v>
      </c>
      <c r="AF89" s="17">
        <f>4/1000</f>
        <v>0.004</v>
      </c>
      <c r="AG89" s="58"/>
      <c r="AH89" s="113">
        <f>4.15/500</f>
        <v>0.0083</v>
      </c>
      <c r="AI89" s="58" t="s">
        <v>283</v>
      </c>
    </row>
    <row r="90" spans="1:35" s="17" customFormat="1" ht="31.5" customHeight="1" thickBot="1">
      <c r="A90" s="75" t="s">
        <v>94</v>
      </c>
      <c r="B90" s="119"/>
      <c r="C90" s="120"/>
      <c r="D90" s="120"/>
      <c r="E90" s="120"/>
      <c r="F90" s="120"/>
      <c r="G90" s="120"/>
      <c r="H90" s="52">
        <f t="shared" si="14"/>
        <v>0</v>
      </c>
      <c r="I90" s="52">
        <f t="shared" si="15"/>
        <v>0</v>
      </c>
      <c r="J90" s="53">
        <f t="shared" si="16"/>
        <v>0</v>
      </c>
      <c r="K90" s="54">
        <f t="shared" si="17"/>
        <v>0</v>
      </c>
      <c r="L90" s="55">
        <f t="shared" si="18"/>
        <v>0</v>
      </c>
      <c r="M90" s="55">
        <f t="shared" si="19"/>
        <v>0</v>
      </c>
      <c r="N90" s="55">
        <f t="shared" si="20"/>
        <v>0</v>
      </c>
      <c r="O90" s="53">
        <f t="shared" si="21"/>
        <v>0</v>
      </c>
      <c r="P90" s="54">
        <f t="shared" si="22"/>
        <v>0</v>
      </c>
      <c r="Q90" s="54">
        <f t="shared" si="23"/>
        <v>0</v>
      </c>
      <c r="R90" s="61">
        <v>14</v>
      </c>
      <c r="S90" s="17">
        <f>(0.55/9)/14</f>
        <v>0.004365079365079365</v>
      </c>
      <c r="T90" s="57">
        <f t="shared" si="13"/>
        <v>0.4365079365079365</v>
      </c>
      <c r="U90" s="17">
        <v>0</v>
      </c>
      <c r="V90" s="113" t="s">
        <v>373</v>
      </c>
      <c r="W90" s="58" t="s">
        <v>285</v>
      </c>
      <c r="AB90" s="74">
        <f>(0.65/9)/14</f>
        <v>0.0051587301587301595</v>
      </c>
      <c r="AC90" s="74" t="s">
        <v>198</v>
      </c>
      <c r="AD90" s="58" t="s">
        <v>285</v>
      </c>
      <c r="AE90" s="58" t="s">
        <v>19</v>
      </c>
      <c r="AF90" s="17">
        <f>0.6/125</f>
        <v>0.0048</v>
      </c>
      <c r="AG90" s="58"/>
      <c r="AH90" s="113">
        <f>(1.25/9)/14</f>
        <v>0.009920634920634922</v>
      </c>
      <c r="AI90" s="58" t="s">
        <v>286</v>
      </c>
    </row>
    <row r="91" spans="1:35" s="17" customFormat="1" ht="31.5" customHeight="1" thickBot="1">
      <c r="A91" s="77" t="s">
        <v>95</v>
      </c>
      <c r="B91" s="119"/>
      <c r="C91" s="120"/>
      <c r="D91" s="120"/>
      <c r="E91" s="120"/>
      <c r="F91" s="120"/>
      <c r="G91" s="120"/>
      <c r="H91" s="52">
        <f t="shared" si="14"/>
        <v>0</v>
      </c>
      <c r="I91" s="52">
        <f t="shared" si="15"/>
        <v>0</v>
      </c>
      <c r="J91" s="53">
        <f t="shared" si="16"/>
        <v>0</v>
      </c>
      <c r="K91" s="54">
        <f t="shared" si="17"/>
        <v>0</v>
      </c>
      <c r="L91" s="55">
        <f t="shared" si="18"/>
        <v>0</v>
      </c>
      <c r="M91" s="55">
        <f t="shared" si="19"/>
        <v>0</v>
      </c>
      <c r="N91" s="55">
        <f t="shared" si="20"/>
        <v>0</v>
      </c>
      <c r="O91" s="53">
        <f t="shared" si="21"/>
        <v>0</v>
      </c>
      <c r="P91" s="54">
        <f t="shared" si="22"/>
        <v>0</v>
      </c>
      <c r="Q91" s="54">
        <f t="shared" si="23"/>
        <v>0</v>
      </c>
      <c r="R91" s="15">
        <v>50</v>
      </c>
      <c r="S91" s="17">
        <f>0.3/50</f>
        <v>0.006</v>
      </c>
      <c r="T91" s="57">
        <f t="shared" si="13"/>
        <v>0.6</v>
      </c>
      <c r="U91" s="17">
        <v>0.1</v>
      </c>
      <c r="V91" s="113" t="s">
        <v>373</v>
      </c>
      <c r="W91" s="58" t="s">
        <v>287</v>
      </c>
      <c r="AB91" s="74">
        <f>0.286/50</f>
        <v>0.005719999999999999</v>
      </c>
      <c r="AC91" s="74" t="s">
        <v>198</v>
      </c>
      <c r="AD91" s="58" t="s">
        <v>287</v>
      </c>
      <c r="AE91" s="58" t="s">
        <v>19</v>
      </c>
      <c r="AF91" s="17">
        <f>4/1000</f>
        <v>0.004</v>
      </c>
      <c r="AG91" s="58"/>
      <c r="AH91" s="113">
        <f>0.625/50</f>
        <v>0.0125</v>
      </c>
      <c r="AI91" s="58" t="s">
        <v>288</v>
      </c>
    </row>
    <row r="92" spans="1:35" s="17" customFormat="1" ht="31.5" customHeight="1" thickBot="1">
      <c r="A92" s="75" t="s">
        <v>96</v>
      </c>
      <c r="B92" s="119"/>
      <c r="C92" s="120"/>
      <c r="D92" s="120"/>
      <c r="E92" s="120"/>
      <c r="F92" s="120"/>
      <c r="G92" s="120"/>
      <c r="H92" s="52">
        <f t="shared" si="14"/>
        <v>0</v>
      </c>
      <c r="I92" s="52">
        <f t="shared" si="15"/>
        <v>0</v>
      </c>
      <c r="J92" s="53">
        <f t="shared" si="16"/>
        <v>0</v>
      </c>
      <c r="K92" s="54">
        <f t="shared" si="17"/>
        <v>0</v>
      </c>
      <c r="L92" s="55">
        <f t="shared" si="18"/>
        <v>0</v>
      </c>
      <c r="M92" s="55">
        <f t="shared" si="19"/>
        <v>0</v>
      </c>
      <c r="N92" s="55">
        <f t="shared" si="20"/>
        <v>0</v>
      </c>
      <c r="O92" s="53">
        <f t="shared" si="21"/>
        <v>0</v>
      </c>
      <c r="P92" s="54">
        <f t="shared" si="22"/>
        <v>0</v>
      </c>
      <c r="Q92" s="54">
        <f t="shared" si="23"/>
        <v>0</v>
      </c>
      <c r="R92" s="15">
        <v>500</v>
      </c>
      <c r="S92" s="17">
        <f>2/1000</f>
        <v>0.002</v>
      </c>
      <c r="T92" s="57">
        <f t="shared" si="13"/>
        <v>0.2</v>
      </c>
      <c r="U92" s="17">
        <v>0</v>
      </c>
      <c r="V92" s="113" t="s">
        <v>373</v>
      </c>
      <c r="W92" s="58" t="s">
        <v>290</v>
      </c>
      <c r="AB92" s="74">
        <f>1.7/1000</f>
        <v>0.0017</v>
      </c>
      <c r="AC92" s="74" t="s">
        <v>198</v>
      </c>
      <c r="AD92" s="58" t="s">
        <v>290</v>
      </c>
      <c r="AE92" s="58" t="s">
        <v>19</v>
      </c>
      <c r="AF92" s="17">
        <f>1.7/1000</f>
        <v>0.0017</v>
      </c>
      <c r="AG92" s="58"/>
      <c r="AH92" s="113">
        <f>2.5/350</f>
        <v>0.007142857142857143</v>
      </c>
      <c r="AI92" s="58" t="s">
        <v>289</v>
      </c>
    </row>
    <row r="93" spans="1:35" s="17" customFormat="1" ht="31.5" customHeight="1" thickBot="1">
      <c r="A93" s="76" t="s">
        <v>97</v>
      </c>
      <c r="B93" s="119"/>
      <c r="C93" s="120"/>
      <c r="D93" s="120"/>
      <c r="E93" s="120"/>
      <c r="F93" s="120"/>
      <c r="G93" s="120"/>
      <c r="H93" s="52">
        <f t="shared" si="14"/>
        <v>0</v>
      </c>
      <c r="I93" s="52">
        <f t="shared" si="15"/>
        <v>0</v>
      </c>
      <c r="J93" s="53">
        <f t="shared" si="16"/>
        <v>0</v>
      </c>
      <c r="K93" s="54">
        <f t="shared" si="17"/>
        <v>0</v>
      </c>
      <c r="L93" s="55">
        <f t="shared" si="18"/>
        <v>0</v>
      </c>
      <c r="M93" s="55">
        <f t="shared" si="19"/>
        <v>0</v>
      </c>
      <c r="N93" s="55">
        <f t="shared" si="20"/>
        <v>0</v>
      </c>
      <c r="O93" s="53">
        <f t="shared" si="21"/>
        <v>0</v>
      </c>
      <c r="P93" s="54">
        <f t="shared" si="22"/>
        <v>0</v>
      </c>
      <c r="Q93" s="54">
        <f t="shared" si="23"/>
        <v>0</v>
      </c>
      <c r="R93" s="15">
        <v>75</v>
      </c>
      <c r="S93" s="17">
        <f>7.45/1000</f>
        <v>0.00745</v>
      </c>
      <c r="T93" s="57">
        <f t="shared" si="13"/>
        <v>0.745</v>
      </c>
      <c r="U93" s="17">
        <v>0</v>
      </c>
      <c r="V93" s="113" t="s">
        <v>356</v>
      </c>
      <c r="W93" s="58" t="s">
        <v>291</v>
      </c>
      <c r="AB93" s="74">
        <f>6.81/1000</f>
        <v>0.006809999999999999</v>
      </c>
      <c r="AC93" s="74" t="s">
        <v>159</v>
      </c>
      <c r="AD93" s="58" t="s">
        <v>291</v>
      </c>
      <c r="AE93" s="58" t="s">
        <v>19</v>
      </c>
      <c r="AF93" s="17">
        <f>6.81/1000</f>
        <v>0.006809999999999999</v>
      </c>
      <c r="AG93" s="58"/>
      <c r="AH93" s="113">
        <f>3.15/350</f>
        <v>0.009</v>
      </c>
      <c r="AI93" s="58" t="s">
        <v>292</v>
      </c>
    </row>
    <row r="94" spans="1:35" s="17" customFormat="1" ht="31.5" customHeight="1" thickBot="1">
      <c r="A94" s="75" t="s">
        <v>98</v>
      </c>
      <c r="B94" s="119"/>
      <c r="C94" s="120"/>
      <c r="D94" s="120"/>
      <c r="E94" s="120"/>
      <c r="F94" s="120"/>
      <c r="G94" s="120"/>
      <c r="H94" s="52">
        <f t="shared" si="14"/>
        <v>0</v>
      </c>
      <c r="I94" s="52">
        <f t="shared" si="15"/>
        <v>0</v>
      </c>
      <c r="J94" s="53">
        <f t="shared" si="16"/>
        <v>0</v>
      </c>
      <c r="K94" s="54">
        <f t="shared" si="17"/>
        <v>0</v>
      </c>
      <c r="L94" s="55">
        <f t="shared" si="18"/>
        <v>0</v>
      </c>
      <c r="M94" s="55">
        <f t="shared" si="19"/>
        <v>0</v>
      </c>
      <c r="N94" s="55">
        <f t="shared" si="20"/>
        <v>0</v>
      </c>
      <c r="O94" s="53">
        <f t="shared" si="21"/>
        <v>0</v>
      </c>
      <c r="P94" s="54">
        <f t="shared" si="22"/>
        <v>0</v>
      </c>
      <c r="Q94" s="54">
        <f t="shared" si="23"/>
        <v>0</v>
      </c>
      <c r="R94" s="17">
        <v>220</v>
      </c>
      <c r="S94" s="17">
        <f>1.4/1000</f>
        <v>0.0014</v>
      </c>
      <c r="T94" s="57">
        <f t="shared" si="13"/>
        <v>0.13999999999999999</v>
      </c>
      <c r="U94" s="17">
        <v>0</v>
      </c>
      <c r="V94" s="113" t="s">
        <v>373</v>
      </c>
      <c r="W94" s="58" t="s">
        <v>293</v>
      </c>
      <c r="AB94" s="74">
        <f>1.3/1000</f>
        <v>0.0013</v>
      </c>
      <c r="AC94" s="74" t="s">
        <v>198</v>
      </c>
      <c r="AD94" s="58" t="s">
        <v>293</v>
      </c>
      <c r="AE94" s="58" t="s">
        <v>19</v>
      </c>
      <c r="AF94" s="17">
        <f>1.39/1000</f>
        <v>0.00139</v>
      </c>
      <c r="AG94" s="58"/>
      <c r="AH94" s="113">
        <f>3.75/1000</f>
        <v>0.00375</v>
      </c>
      <c r="AI94" s="58" t="s">
        <v>294</v>
      </c>
    </row>
    <row r="95" spans="1:35" s="17" customFormat="1" ht="31.5" customHeight="1" thickBot="1">
      <c r="A95" s="75" t="s">
        <v>99</v>
      </c>
      <c r="B95" s="119"/>
      <c r="C95" s="120"/>
      <c r="D95" s="120"/>
      <c r="E95" s="120"/>
      <c r="F95" s="120"/>
      <c r="G95" s="120"/>
      <c r="H95" s="52">
        <f t="shared" si="14"/>
        <v>0</v>
      </c>
      <c r="I95" s="52">
        <f t="shared" si="15"/>
        <v>0</v>
      </c>
      <c r="J95" s="53">
        <f t="shared" si="16"/>
        <v>0</v>
      </c>
      <c r="K95" s="54">
        <f t="shared" si="17"/>
        <v>0</v>
      </c>
      <c r="L95" s="55">
        <f t="shared" si="18"/>
        <v>0</v>
      </c>
      <c r="M95" s="55">
        <f t="shared" si="19"/>
        <v>0</v>
      </c>
      <c r="N95" s="55">
        <f t="shared" si="20"/>
        <v>0</v>
      </c>
      <c r="O95" s="53">
        <f t="shared" si="21"/>
        <v>0</v>
      </c>
      <c r="P95" s="54">
        <f t="shared" si="22"/>
        <v>0</v>
      </c>
      <c r="Q95" s="54">
        <f t="shared" si="23"/>
        <v>0</v>
      </c>
      <c r="R95" s="15">
        <v>40</v>
      </c>
      <c r="S95" s="17">
        <f>1/40</f>
        <v>0.025</v>
      </c>
      <c r="T95" s="57">
        <f t="shared" si="13"/>
        <v>2.5</v>
      </c>
      <c r="U95" s="17">
        <v>1</v>
      </c>
      <c r="V95" s="113" t="s">
        <v>356</v>
      </c>
      <c r="W95" s="58" t="s">
        <v>295</v>
      </c>
      <c r="AB95" s="74">
        <f>0.8/40</f>
        <v>0.02</v>
      </c>
      <c r="AC95" s="74" t="s">
        <v>159</v>
      </c>
      <c r="AD95" s="58" t="s">
        <v>295</v>
      </c>
      <c r="AE95" s="58" t="s">
        <v>19</v>
      </c>
      <c r="AF95" s="17">
        <f>0.5/40</f>
        <v>0.0125</v>
      </c>
      <c r="AG95" s="58"/>
      <c r="AH95" s="113">
        <f>3.55/(40*3)</f>
        <v>0.029583333333333333</v>
      </c>
      <c r="AI95" s="58" t="s">
        <v>296</v>
      </c>
    </row>
    <row r="96" spans="1:35" s="17" customFormat="1" ht="31.5" customHeight="1" thickBot="1">
      <c r="A96" s="76" t="s">
        <v>100</v>
      </c>
      <c r="B96" s="119"/>
      <c r="C96" s="120"/>
      <c r="D96" s="120"/>
      <c r="E96" s="120"/>
      <c r="F96" s="120"/>
      <c r="G96" s="120"/>
      <c r="H96" s="52">
        <f t="shared" si="14"/>
        <v>0</v>
      </c>
      <c r="I96" s="52">
        <f t="shared" si="15"/>
        <v>0</v>
      </c>
      <c r="J96" s="53">
        <f t="shared" si="16"/>
        <v>0</v>
      </c>
      <c r="K96" s="54">
        <f t="shared" si="17"/>
        <v>0</v>
      </c>
      <c r="L96" s="55">
        <f t="shared" si="18"/>
        <v>0</v>
      </c>
      <c r="M96" s="55">
        <f t="shared" si="19"/>
        <v>0</v>
      </c>
      <c r="N96" s="55">
        <f t="shared" si="20"/>
        <v>0</v>
      </c>
      <c r="O96" s="53">
        <f t="shared" si="21"/>
        <v>0</v>
      </c>
      <c r="P96" s="54">
        <f t="shared" si="22"/>
        <v>0</v>
      </c>
      <c r="Q96" s="54">
        <f t="shared" si="23"/>
        <v>0</v>
      </c>
      <c r="R96" s="17">
        <v>150</v>
      </c>
      <c r="S96" s="17">
        <f>0.7/150</f>
        <v>0.004666666666666666</v>
      </c>
      <c r="T96" s="57">
        <f t="shared" si="13"/>
        <v>0.4666666666666666</v>
      </c>
      <c r="U96" s="17">
        <v>0.6</v>
      </c>
      <c r="V96" s="113" t="s">
        <v>373</v>
      </c>
      <c r="W96" s="58" t="s">
        <v>297</v>
      </c>
      <c r="AB96" s="74">
        <f>0.7/150</f>
        <v>0.004666666666666666</v>
      </c>
      <c r="AC96" s="74" t="s">
        <v>198</v>
      </c>
      <c r="AD96" s="58" t="s">
        <v>297</v>
      </c>
      <c r="AE96" s="58" t="s">
        <v>19</v>
      </c>
      <c r="AF96" s="17">
        <f>0.748/150</f>
        <v>0.004986666666666667</v>
      </c>
      <c r="AG96" s="58"/>
      <c r="AH96" s="113">
        <f>0.64/100</f>
        <v>0.0064</v>
      </c>
      <c r="AI96" s="58" t="s">
        <v>414</v>
      </c>
    </row>
    <row r="97" spans="1:35" s="17" customFormat="1" ht="31.5" customHeight="1" thickBot="1">
      <c r="A97" s="76" t="s">
        <v>101</v>
      </c>
      <c r="B97" s="119"/>
      <c r="C97" s="120"/>
      <c r="D97" s="120"/>
      <c r="E97" s="120"/>
      <c r="F97" s="120"/>
      <c r="G97" s="120"/>
      <c r="H97" s="52">
        <f t="shared" si="14"/>
        <v>0</v>
      </c>
      <c r="I97" s="52">
        <f t="shared" si="15"/>
        <v>0</v>
      </c>
      <c r="J97" s="53">
        <f t="shared" si="16"/>
        <v>0</v>
      </c>
      <c r="K97" s="54">
        <f t="shared" si="17"/>
        <v>0</v>
      </c>
      <c r="L97" s="55">
        <f t="shared" si="18"/>
        <v>0</v>
      </c>
      <c r="M97" s="55">
        <f t="shared" si="19"/>
        <v>0</v>
      </c>
      <c r="N97" s="55">
        <f t="shared" si="20"/>
        <v>0</v>
      </c>
      <c r="O97" s="53">
        <f t="shared" si="21"/>
        <v>0</v>
      </c>
      <c r="P97" s="54">
        <f t="shared" si="22"/>
        <v>0</v>
      </c>
      <c r="Q97" s="54">
        <f t="shared" si="23"/>
        <v>0</v>
      </c>
      <c r="R97" s="15">
        <v>150</v>
      </c>
      <c r="S97" s="17">
        <f>0.3/150</f>
        <v>0.002</v>
      </c>
      <c r="T97" s="57">
        <f t="shared" si="13"/>
        <v>0.2</v>
      </c>
      <c r="U97" s="17">
        <v>0.5</v>
      </c>
      <c r="V97" s="113" t="s">
        <v>373</v>
      </c>
      <c r="W97" s="58" t="s">
        <v>299</v>
      </c>
      <c r="AB97" s="74">
        <f>0.3/150</f>
        <v>0.002</v>
      </c>
      <c r="AC97" s="74" t="s">
        <v>198</v>
      </c>
      <c r="AD97" s="58" t="s">
        <v>299</v>
      </c>
      <c r="AE97" s="58" t="s">
        <v>19</v>
      </c>
      <c r="AF97" s="17">
        <f>2.2/1000</f>
        <v>0.0022</v>
      </c>
      <c r="AG97" s="58"/>
      <c r="AH97" s="113">
        <f>0.638/150</f>
        <v>0.004253333333333334</v>
      </c>
      <c r="AI97" s="58" t="s">
        <v>298</v>
      </c>
    </row>
    <row r="98" spans="1:35" s="17" customFormat="1" ht="31.5" customHeight="1" thickBot="1">
      <c r="A98" s="75" t="s">
        <v>102</v>
      </c>
      <c r="B98" s="121"/>
      <c r="C98" s="120"/>
      <c r="D98" s="120"/>
      <c r="E98" s="120"/>
      <c r="F98" s="120"/>
      <c r="G98" s="120"/>
      <c r="H98" s="52">
        <f t="shared" si="14"/>
        <v>0</v>
      </c>
      <c r="I98" s="52">
        <f t="shared" si="15"/>
        <v>0</v>
      </c>
      <c r="J98" s="53">
        <f t="shared" si="16"/>
        <v>0</v>
      </c>
      <c r="K98" s="54">
        <f t="shared" si="17"/>
        <v>0</v>
      </c>
      <c r="L98" s="55">
        <f t="shared" si="18"/>
        <v>0</v>
      </c>
      <c r="M98" s="55">
        <f t="shared" si="19"/>
        <v>0</v>
      </c>
      <c r="N98" s="55">
        <f t="shared" si="20"/>
        <v>0</v>
      </c>
      <c r="O98" s="53">
        <f t="shared" si="21"/>
        <v>0</v>
      </c>
      <c r="P98" s="54">
        <f t="shared" si="22"/>
        <v>0</v>
      </c>
      <c r="Q98" s="54">
        <f t="shared" si="23"/>
        <v>0</v>
      </c>
      <c r="R98" s="17">
        <v>1</v>
      </c>
      <c r="S98" s="17">
        <f>5/1000</f>
        <v>0.005</v>
      </c>
      <c r="T98" s="57">
        <f t="shared" si="13"/>
        <v>0.5</v>
      </c>
      <c r="U98" s="15">
        <v>0</v>
      </c>
      <c r="V98" s="113" t="s">
        <v>373</v>
      </c>
      <c r="W98" s="58" t="s">
        <v>301</v>
      </c>
      <c r="AB98" s="74">
        <f>5/1000</f>
        <v>0.005</v>
      </c>
      <c r="AC98" s="74" t="s">
        <v>198</v>
      </c>
      <c r="AD98" s="58" t="s">
        <v>301</v>
      </c>
      <c r="AE98" s="58" t="s">
        <v>19</v>
      </c>
      <c r="AF98" s="17">
        <v>0.008</v>
      </c>
      <c r="AG98" s="58"/>
      <c r="AH98" s="113">
        <f>4.55/400</f>
        <v>0.011375</v>
      </c>
      <c r="AI98" s="58" t="s">
        <v>300</v>
      </c>
    </row>
    <row r="99" spans="1:35" s="17" customFormat="1" ht="31.5" customHeight="1" thickBot="1">
      <c r="A99" s="76" t="s">
        <v>103</v>
      </c>
      <c r="B99" s="119"/>
      <c r="C99" s="120"/>
      <c r="D99" s="120"/>
      <c r="E99" s="120"/>
      <c r="F99" s="120"/>
      <c r="G99" s="120"/>
      <c r="H99" s="52">
        <f t="shared" si="14"/>
        <v>0</v>
      </c>
      <c r="I99" s="52">
        <f t="shared" si="15"/>
        <v>0</v>
      </c>
      <c r="J99" s="53">
        <f t="shared" si="16"/>
        <v>0</v>
      </c>
      <c r="K99" s="54">
        <f t="shared" si="17"/>
        <v>0</v>
      </c>
      <c r="L99" s="55">
        <f t="shared" si="18"/>
        <v>0</v>
      </c>
      <c r="M99" s="55">
        <f t="shared" si="19"/>
        <v>0</v>
      </c>
      <c r="N99" s="55">
        <f t="shared" si="20"/>
        <v>0</v>
      </c>
      <c r="O99" s="53">
        <f t="shared" si="21"/>
        <v>0</v>
      </c>
      <c r="P99" s="54">
        <f t="shared" si="22"/>
        <v>0</v>
      </c>
      <c r="Q99" s="54">
        <f t="shared" si="23"/>
        <v>0</v>
      </c>
      <c r="R99" s="17">
        <v>150</v>
      </c>
      <c r="S99" s="17">
        <f>3.75/1000</f>
        <v>0.00375</v>
      </c>
      <c r="T99" s="57">
        <f t="shared" si="13"/>
        <v>0.375</v>
      </c>
      <c r="U99" s="17">
        <v>0.1</v>
      </c>
      <c r="V99" s="113" t="s">
        <v>373</v>
      </c>
      <c r="W99" s="58" t="s">
        <v>302</v>
      </c>
      <c r="AB99" s="74">
        <f>3/1000</f>
        <v>0.003</v>
      </c>
      <c r="AC99" s="74" t="s">
        <v>198</v>
      </c>
      <c r="AD99" s="58" t="s">
        <v>302</v>
      </c>
      <c r="AE99" s="58" t="s">
        <v>105</v>
      </c>
      <c r="AF99" s="17">
        <f>6.875/1000</f>
        <v>0.006875</v>
      </c>
      <c r="AG99" s="58"/>
      <c r="AH99" s="113">
        <f>1.13/150</f>
        <v>0.007533333333333333</v>
      </c>
      <c r="AI99" s="58" t="s">
        <v>303</v>
      </c>
    </row>
    <row r="100" spans="1:35" s="17" customFormat="1" ht="31.5" customHeight="1" thickBot="1">
      <c r="A100" s="76" t="s">
        <v>104</v>
      </c>
      <c r="B100" s="119"/>
      <c r="C100" s="120"/>
      <c r="D100" s="120"/>
      <c r="E100" s="120"/>
      <c r="F100" s="120"/>
      <c r="G100" s="120"/>
      <c r="H100" s="52">
        <f t="shared" si="14"/>
        <v>0</v>
      </c>
      <c r="I100" s="52">
        <f t="shared" si="15"/>
        <v>0</v>
      </c>
      <c r="J100" s="53">
        <f t="shared" si="16"/>
        <v>0</v>
      </c>
      <c r="K100" s="54">
        <f t="shared" si="17"/>
        <v>0</v>
      </c>
      <c r="L100" s="55">
        <f t="shared" si="18"/>
        <v>0</v>
      </c>
      <c r="M100" s="55">
        <f t="shared" si="19"/>
        <v>0</v>
      </c>
      <c r="N100" s="55">
        <f t="shared" si="20"/>
        <v>0</v>
      </c>
      <c r="O100" s="53">
        <f t="shared" si="21"/>
        <v>0</v>
      </c>
      <c r="P100" s="54">
        <f t="shared" si="22"/>
        <v>0</v>
      </c>
      <c r="Q100" s="54">
        <f t="shared" si="23"/>
        <v>0</v>
      </c>
      <c r="R100" s="61">
        <v>40</v>
      </c>
      <c r="S100" s="74">
        <f>3/1000</f>
        <v>0.003</v>
      </c>
      <c r="T100" s="57">
        <f t="shared" si="13"/>
        <v>0.3</v>
      </c>
      <c r="U100" s="74">
        <v>0.5</v>
      </c>
      <c r="V100" s="113" t="s">
        <v>373</v>
      </c>
      <c r="W100" s="58" t="s">
        <v>258</v>
      </c>
      <c r="X100" s="74"/>
      <c r="Y100" s="74"/>
      <c r="Z100" s="74"/>
      <c r="AA100" s="74"/>
      <c r="AB100" s="74">
        <f>4/1000</f>
        <v>0.004</v>
      </c>
      <c r="AC100" s="74" t="s">
        <v>257</v>
      </c>
      <c r="AD100" s="58" t="s">
        <v>258</v>
      </c>
      <c r="AE100" s="58" t="s">
        <v>19</v>
      </c>
      <c r="AF100" s="74">
        <f>6/1000</f>
        <v>0.006</v>
      </c>
      <c r="AG100" s="58"/>
      <c r="AH100" s="113">
        <f>7.4/1000</f>
        <v>0.0074</v>
      </c>
      <c r="AI100" s="58" t="s">
        <v>259</v>
      </c>
    </row>
    <row r="101" spans="1:35" s="17" customFormat="1" ht="31.5" customHeight="1" thickBot="1">
      <c r="A101" s="76" t="s">
        <v>106</v>
      </c>
      <c r="B101" s="119"/>
      <c r="C101" s="120"/>
      <c r="D101" s="120"/>
      <c r="E101" s="120"/>
      <c r="F101" s="120"/>
      <c r="G101" s="120"/>
      <c r="H101" s="52">
        <f t="shared" si="14"/>
        <v>0</v>
      </c>
      <c r="I101" s="52">
        <f t="shared" si="15"/>
        <v>0</v>
      </c>
      <c r="J101" s="53">
        <f t="shared" si="16"/>
        <v>0</v>
      </c>
      <c r="K101" s="54">
        <f t="shared" si="17"/>
        <v>0</v>
      </c>
      <c r="L101" s="55">
        <f t="shared" si="18"/>
        <v>0</v>
      </c>
      <c r="M101" s="55">
        <f t="shared" si="19"/>
        <v>0</v>
      </c>
      <c r="N101" s="55">
        <f t="shared" si="20"/>
        <v>0</v>
      </c>
      <c r="O101" s="53">
        <f t="shared" si="21"/>
        <v>0</v>
      </c>
      <c r="P101" s="54">
        <f t="shared" si="22"/>
        <v>0</v>
      </c>
      <c r="Q101" s="54">
        <f t="shared" si="23"/>
        <v>0</v>
      </c>
      <c r="R101" s="15">
        <v>100</v>
      </c>
      <c r="S101" s="17">
        <f>0.54/1000</f>
        <v>0.00054</v>
      </c>
      <c r="T101" s="57">
        <f t="shared" si="13"/>
        <v>0.054</v>
      </c>
      <c r="U101" s="17">
        <v>0</v>
      </c>
      <c r="V101" s="113" t="s">
        <v>373</v>
      </c>
      <c r="W101" s="58" t="s">
        <v>304</v>
      </c>
      <c r="AB101" s="74">
        <f>0.4/1000</f>
        <v>0.0004</v>
      </c>
      <c r="AC101" s="74" t="s">
        <v>198</v>
      </c>
      <c r="AD101" s="58" t="s">
        <v>304</v>
      </c>
      <c r="AE101" s="58" t="s">
        <v>19</v>
      </c>
      <c r="AF101" s="17">
        <f>0.625/1000</f>
        <v>0.000625</v>
      </c>
      <c r="AG101" s="58"/>
      <c r="AH101" s="113">
        <f>1.57/1000</f>
        <v>0.00157</v>
      </c>
      <c r="AI101" s="58" t="s">
        <v>305</v>
      </c>
    </row>
    <row r="102" spans="1:35" s="17" customFormat="1" ht="31.5" customHeight="1" thickBot="1">
      <c r="A102" s="76" t="s">
        <v>107</v>
      </c>
      <c r="B102" s="119"/>
      <c r="C102" s="120"/>
      <c r="D102" s="120"/>
      <c r="E102" s="120"/>
      <c r="F102" s="120"/>
      <c r="G102" s="120"/>
      <c r="H102" s="52">
        <f t="shared" si="14"/>
        <v>0</v>
      </c>
      <c r="I102" s="52">
        <f t="shared" si="15"/>
        <v>0</v>
      </c>
      <c r="J102" s="53">
        <f t="shared" si="16"/>
        <v>0</v>
      </c>
      <c r="K102" s="54">
        <f t="shared" si="17"/>
        <v>0</v>
      </c>
      <c r="L102" s="55">
        <f t="shared" si="18"/>
        <v>0</v>
      </c>
      <c r="M102" s="55">
        <f t="shared" si="19"/>
        <v>0</v>
      </c>
      <c r="N102" s="55">
        <f t="shared" si="20"/>
        <v>0</v>
      </c>
      <c r="O102" s="53">
        <f t="shared" si="21"/>
        <v>0</v>
      </c>
      <c r="P102" s="54">
        <f t="shared" si="22"/>
        <v>0</v>
      </c>
      <c r="Q102" s="54">
        <f t="shared" si="23"/>
        <v>0</v>
      </c>
      <c r="R102" s="15">
        <v>30</v>
      </c>
      <c r="S102" s="17">
        <f>1.4/1000</f>
        <v>0.0014</v>
      </c>
      <c r="T102" s="57">
        <f t="shared" si="13"/>
        <v>0.13999999999999999</v>
      </c>
      <c r="U102" s="17">
        <v>0</v>
      </c>
      <c r="V102" s="113" t="s">
        <v>373</v>
      </c>
      <c r="W102" s="58" t="s">
        <v>306</v>
      </c>
      <c r="AB102" s="74">
        <f>1.3/1000</f>
        <v>0.0013</v>
      </c>
      <c r="AC102" s="74" t="s">
        <v>198</v>
      </c>
      <c r="AD102" s="58" t="s">
        <v>306</v>
      </c>
      <c r="AE102" s="58" t="s">
        <v>19</v>
      </c>
      <c r="AF102" s="17">
        <f>2/1000</f>
        <v>0.002</v>
      </c>
      <c r="AG102" s="58"/>
      <c r="AH102" s="113">
        <f>2.8/1000</f>
        <v>0.0028</v>
      </c>
      <c r="AI102" s="58" t="s">
        <v>392</v>
      </c>
    </row>
    <row r="103" spans="1:35" s="17" customFormat="1" ht="31.5" customHeight="1" thickBot="1">
      <c r="A103" s="75" t="s">
        <v>108</v>
      </c>
      <c r="B103" s="119"/>
      <c r="C103" s="120"/>
      <c r="D103" s="120"/>
      <c r="E103" s="120"/>
      <c r="F103" s="120"/>
      <c r="G103" s="120"/>
      <c r="H103" s="52">
        <f t="shared" si="14"/>
        <v>0</v>
      </c>
      <c r="I103" s="52">
        <f t="shared" si="15"/>
        <v>0</v>
      </c>
      <c r="J103" s="53">
        <f t="shared" si="16"/>
        <v>0</v>
      </c>
      <c r="K103" s="54">
        <f t="shared" si="17"/>
        <v>0</v>
      </c>
      <c r="L103" s="55">
        <f t="shared" si="18"/>
        <v>0</v>
      </c>
      <c r="M103" s="55">
        <f t="shared" si="19"/>
        <v>0</v>
      </c>
      <c r="N103" s="55">
        <f t="shared" si="20"/>
        <v>0</v>
      </c>
      <c r="O103" s="53">
        <f t="shared" si="21"/>
        <v>0</v>
      </c>
      <c r="P103" s="54">
        <f t="shared" si="22"/>
        <v>0</v>
      </c>
      <c r="Q103" s="54">
        <f t="shared" si="23"/>
        <v>0</v>
      </c>
      <c r="R103" s="17">
        <v>250</v>
      </c>
      <c r="S103" s="17">
        <f>(3.55/3)/250</f>
        <v>0.004733333333333333</v>
      </c>
      <c r="T103" s="57">
        <f t="shared" si="13"/>
        <v>0.47333333333333333</v>
      </c>
      <c r="U103" s="15">
        <v>1</v>
      </c>
      <c r="V103" s="113" t="s">
        <v>398</v>
      </c>
      <c r="W103" s="58" t="s">
        <v>307</v>
      </c>
      <c r="X103" s="17" t="s">
        <v>308</v>
      </c>
      <c r="AB103" s="74">
        <f>(3.55/3)/250</f>
        <v>0.004733333333333333</v>
      </c>
      <c r="AC103" s="74" t="s">
        <v>193</v>
      </c>
      <c r="AD103" s="58" t="s">
        <v>307</v>
      </c>
      <c r="AE103" s="58" t="s">
        <v>64</v>
      </c>
      <c r="AF103" s="17">
        <v>0.005</v>
      </c>
      <c r="AG103" s="58"/>
      <c r="AH103" s="113">
        <f>(3.55/3)/250</f>
        <v>0.004733333333333333</v>
      </c>
      <c r="AI103" s="58" t="s">
        <v>307</v>
      </c>
    </row>
    <row r="104" spans="1:35" s="17" customFormat="1" ht="31.5" customHeight="1" thickBot="1">
      <c r="A104" s="76" t="s">
        <v>109</v>
      </c>
      <c r="B104" s="119"/>
      <c r="C104" s="120"/>
      <c r="D104" s="120"/>
      <c r="E104" s="120"/>
      <c r="F104" s="120"/>
      <c r="G104" s="120"/>
      <c r="H104" s="52">
        <f t="shared" si="14"/>
        <v>0</v>
      </c>
      <c r="I104" s="52">
        <f t="shared" si="15"/>
        <v>0</v>
      </c>
      <c r="J104" s="53">
        <f t="shared" si="16"/>
        <v>0</v>
      </c>
      <c r="K104" s="54">
        <f t="shared" si="17"/>
        <v>0</v>
      </c>
      <c r="L104" s="55">
        <f t="shared" si="18"/>
        <v>0</v>
      </c>
      <c r="M104" s="55">
        <f t="shared" si="19"/>
        <v>0</v>
      </c>
      <c r="N104" s="55">
        <f t="shared" si="20"/>
        <v>0</v>
      </c>
      <c r="O104" s="53">
        <f t="shared" si="21"/>
        <v>0</v>
      </c>
      <c r="P104" s="54">
        <f t="shared" si="22"/>
        <v>0</v>
      </c>
      <c r="Q104" s="54">
        <f t="shared" si="23"/>
        <v>0</v>
      </c>
      <c r="S104" s="17">
        <f>7/1000</f>
        <v>0.007</v>
      </c>
      <c r="T104" s="57">
        <f t="shared" si="13"/>
        <v>0.7000000000000001</v>
      </c>
      <c r="U104" s="17">
        <v>0</v>
      </c>
      <c r="V104" s="113" t="s">
        <v>356</v>
      </c>
      <c r="W104" s="58" t="s">
        <v>309</v>
      </c>
      <c r="AB104" s="74">
        <f>7/1000</f>
        <v>0.007</v>
      </c>
      <c r="AC104" s="74" t="s">
        <v>159</v>
      </c>
      <c r="AD104" s="58" t="s">
        <v>309</v>
      </c>
      <c r="AE104" s="58" t="s">
        <v>19</v>
      </c>
      <c r="AF104" s="17">
        <f>7.5/1000</f>
        <v>0.0075</v>
      </c>
      <c r="AG104" s="58"/>
      <c r="AH104" s="113">
        <f>10.67/1000</f>
        <v>0.01067</v>
      </c>
      <c r="AI104" s="58" t="s">
        <v>310</v>
      </c>
    </row>
    <row r="105" spans="1:35" s="17" customFormat="1" ht="31.5" customHeight="1" thickBot="1">
      <c r="A105" s="76" t="s">
        <v>110</v>
      </c>
      <c r="B105" s="119"/>
      <c r="C105" s="120"/>
      <c r="D105" s="120"/>
      <c r="E105" s="120"/>
      <c r="F105" s="120"/>
      <c r="G105" s="120"/>
      <c r="H105" s="52">
        <f t="shared" si="14"/>
        <v>0</v>
      </c>
      <c r="I105" s="52">
        <f t="shared" si="15"/>
        <v>0</v>
      </c>
      <c r="J105" s="53">
        <f t="shared" si="16"/>
        <v>0</v>
      </c>
      <c r="K105" s="54">
        <f t="shared" si="17"/>
        <v>0</v>
      </c>
      <c r="L105" s="55">
        <f t="shared" si="18"/>
        <v>0</v>
      </c>
      <c r="M105" s="55">
        <f t="shared" si="19"/>
        <v>0</v>
      </c>
      <c r="N105" s="55">
        <f t="shared" si="20"/>
        <v>0</v>
      </c>
      <c r="O105" s="53">
        <f t="shared" si="21"/>
        <v>0</v>
      </c>
      <c r="P105" s="54">
        <f t="shared" si="22"/>
        <v>0</v>
      </c>
      <c r="Q105" s="54">
        <f t="shared" si="23"/>
        <v>0</v>
      </c>
      <c r="R105" s="15">
        <v>5</v>
      </c>
      <c r="S105" s="17">
        <f>2.75/1000</f>
        <v>0.00275</v>
      </c>
      <c r="T105" s="57">
        <f t="shared" si="13"/>
        <v>0.27499999999999997</v>
      </c>
      <c r="U105" s="17">
        <v>0</v>
      </c>
      <c r="V105" s="113" t="s">
        <v>373</v>
      </c>
      <c r="W105" s="58" t="s">
        <v>311</v>
      </c>
      <c r="AB105" s="74">
        <f>3.5/1000</f>
        <v>0.0035</v>
      </c>
      <c r="AC105" s="74" t="s">
        <v>198</v>
      </c>
      <c r="AD105" s="58" t="s">
        <v>311</v>
      </c>
      <c r="AE105" s="58" t="s">
        <v>19</v>
      </c>
      <c r="AF105" s="17">
        <f>7.34/1000</f>
        <v>0.00734</v>
      </c>
      <c r="AG105" s="58"/>
      <c r="AH105" s="113">
        <f>2.45/200</f>
        <v>0.01225</v>
      </c>
      <c r="AI105" s="58" t="s">
        <v>312</v>
      </c>
    </row>
    <row r="106" spans="1:35" s="17" customFormat="1" ht="31.5" customHeight="1" thickBot="1">
      <c r="A106" s="75" t="s">
        <v>111</v>
      </c>
      <c r="B106" s="121"/>
      <c r="C106" s="120"/>
      <c r="D106" s="120"/>
      <c r="E106" s="120"/>
      <c r="F106" s="120"/>
      <c r="G106" s="120"/>
      <c r="H106" s="52">
        <f t="shared" si="14"/>
        <v>0</v>
      </c>
      <c r="I106" s="52">
        <f t="shared" si="15"/>
        <v>0</v>
      </c>
      <c r="J106" s="53">
        <f t="shared" si="16"/>
        <v>0</v>
      </c>
      <c r="K106" s="54">
        <f t="shared" si="17"/>
        <v>0</v>
      </c>
      <c r="L106" s="55">
        <f t="shared" si="18"/>
        <v>0</v>
      </c>
      <c r="M106" s="55">
        <f t="shared" si="19"/>
        <v>0</v>
      </c>
      <c r="N106" s="55">
        <f t="shared" si="20"/>
        <v>0</v>
      </c>
      <c r="O106" s="53">
        <f t="shared" si="21"/>
        <v>0</v>
      </c>
      <c r="P106" s="54">
        <f t="shared" si="22"/>
        <v>0</v>
      </c>
      <c r="Q106" s="54">
        <f t="shared" si="23"/>
        <v>0</v>
      </c>
      <c r="R106" s="15">
        <v>4</v>
      </c>
      <c r="S106" s="74">
        <f>12.67/1000</f>
        <v>0.01267</v>
      </c>
      <c r="T106" s="57">
        <f t="shared" si="13"/>
        <v>1.2670000000000001</v>
      </c>
      <c r="U106" s="74">
        <v>0.3</v>
      </c>
      <c r="V106" s="113" t="s">
        <v>373</v>
      </c>
      <c r="W106" s="58" t="s">
        <v>196</v>
      </c>
      <c r="X106" s="74"/>
      <c r="Y106" s="74"/>
      <c r="Z106" s="74"/>
      <c r="AA106" s="74"/>
      <c r="AB106" s="74">
        <f>13.34/1000</f>
        <v>0.01334</v>
      </c>
      <c r="AC106" s="74" t="s">
        <v>161</v>
      </c>
      <c r="AD106" s="58" t="s">
        <v>196</v>
      </c>
      <c r="AE106" s="58" t="s">
        <v>40</v>
      </c>
      <c r="AF106" s="74">
        <f>13.34/1000</f>
        <v>0.01334</v>
      </c>
      <c r="AG106" s="58"/>
      <c r="AH106" s="113">
        <f>22.4/1000</f>
        <v>0.0224</v>
      </c>
      <c r="AI106" s="74" t="s">
        <v>197</v>
      </c>
    </row>
    <row r="107" spans="1:35" s="17" customFormat="1" ht="31.5" customHeight="1" thickBot="1">
      <c r="A107" s="75" t="s">
        <v>112</v>
      </c>
      <c r="B107" s="119"/>
      <c r="C107" s="120"/>
      <c r="D107" s="120"/>
      <c r="E107" s="120"/>
      <c r="F107" s="120"/>
      <c r="G107" s="120"/>
      <c r="H107" s="52">
        <f t="shared" si="14"/>
        <v>0</v>
      </c>
      <c r="I107" s="52">
        <f t="shared" si="15"/>
        <v>0</v>
      </c>
      <c r="J107" s="53">
        <f t="shared" si="16"/>
        <v>0</v>
      </c>
      <c r="K107" s="54">
        <f t="shared" si="17"/>
        <v>0</v>
      </c>
      <c r="L107" s="55">
        <f t="shared" si="18"/>
        <v>0</v>
      </c>
      <c r="M107" s="55">
        <f t="shared" si="19"/>
        <v>0</v>
      </c>
      <c r="N107" s="55">
        <f t="shared" si="20"/>
        <v>0</v>
      </c>
      <c r="O107" s="53">
        <f t="shared" si="21"/>
        <v>0</v>
      </c>
      <c r="P107" s="54">
        <f t="shared" si="22"/>
        <v>0</v>
      </c>
      <c r="Q107" s="54">
        <f t="shared" si="23"/>
        <v>0</v>
      </c>
      <c r="R107" s="15">
        <v>1</v>
      </c>
      <c r="S107" s="17">
        <f>15/1000</f>
        <v>0.015</v>
      </c>
      <c r="T107" s="57">
        <f t="shared" si="13"/>
        <v>1.5</v>
      </c>
      <c r="U107" s="15">
        <v>0.25</v>
      </c>
      <c r="V107" s="113" t="s">
        <v>406</v>
      </c>
      <c r="W107" s="58" t="s">
        <v>415</v>
      </c>
      <c r="AB107" s="74">
        <f>15/1000</f>
        <v>0.015</v>
      </c>
      <c r="AC107" s="74" t="s">
        <v>314</v>
      </c>
      <c r="AD107" s="58" t="s">
        <v>313</v>
      </c>
      <c r="AE107" s="58" t="s">
        <v>19</v>
      </c>
      <c r="AF107" s="17">
        <f>16/1000</f>
        <v>0.016</v>
      </c>
      <c r="AG107" s="58"/>
      <c r="AH107" s="113">
        <f>3.05/125</f>
        <v>0.024399999999999998</v>
      </c>
      <c r="AI107" s="58" t="s">
        <v>315</v>
      </c>
    </row>
    <row r="108" spans="1:35" s="17" customFormat="1" ht="31.5" customHeight="1" thickBot="1">
      <c r="A108" s="75" t="s">
        <v>113</v>
      </c>
      <c r="B108" s="119"/>
      <c r="C108" s="120"/>
      <c r="D108" s="120"/>
      <c r="E108" s="120"/>
      <c r="F108" s="120"/>
      <c r="G108" s="120"/>
      <c r="H108" s="52">
        <f t="shared" si="14"/>
        <v>0</v>
      </c>
      <c r="I108" s="52">
        <f t="shared" si="15"/>
        <v>0</v>
      </c>
      <c r="J108" s="53">
        <f t="shared" si="16"/>
        <v>0</v>
      </c>
      <c r="K108" s="54">
        <f t="shared" si="17"/>
        <v>0</v>
      </c>
      <c r="L108" s="55">
        <f t="shared" si="18"/>
        <v>0</v>
      </c>
      <c r="M108" s="55">
        <f t="shared" si="19"/>
        <v>0</v>
      </c>
      <c r="N108" s="55">
        <f t="shared" si="20"/>
        <v>0</v>
      </c>
      <c r="O108" s="53">
        <f t="shared" si="21"/>
        <v>0</v>
      </c>
      <c r="P108" s="54">
        <f t="shared" si="22"/>
        <v>0</v>
      </c>
      <c r="Q108" s="54">
        <f t="shared" si="23"/>
        <v>0</v>
      </c>
      <c r="R108" s="15">
        <v>60</v>
      </c>
      <c r="S108" s="17">
        <f>5.4/1000</f>
        <v>0.0054</v>
      </c>
      <c r="T108" s="57">
        <f t="shared" si="13"/>
        <v>0.54</v>
      </c>
      <c r="U108" s="17">
        <v>0</v>
      </c>
      <c r="V108" s="113" t="s">
        <v>385</v>
      </c>
      <c r="W108" s="58" t="s">
        <v>317</v>
      </c>
      <c r="AB108" s="74">
        <f>6.63/1000</f>
        <v>0.00663</v>
      </c>
      <c r="AC108" s="74" t="s">
        <v>159</v>
      </c>
      <c r="AD108" s="58" t="s">
        <v>317</v>
      </c>
      <c r="AE108" s="58" t="s">
        <v>19</v>
      </c>
      <c r="AF108" s="17">
        <f>6/1000</f>
        <v>0.006</v>
      </c>
      <c r="AG108" s="58"/>
      <c r="AH108" s="113">
        <f>3.25/500</f>
        <v>0.0065</v>
      </c>
      <c r="AI108" s="58" t="s">
        <v>316</v>
      </c>
    </row>
    <row r="109" spans="1:35" s="17" customFormat="1" ht="31.5" customHeight="1" thickBot="1">
      <c r="A109" s="75" t="s">
        <v>114</v>
      </c>
      <c r="B109" s="119"/>
      <c r="C109" s="120"/>
      <c r="D109" s="120"/>
      <c r="E109" s="120"/>
      <c r="F109" s="120"/>
      <c r="G109" s="120"/>
      <c r="H109" s="52">
        <f t="shared" si="14"/>
        <v>0</v>
      </c>
      <c r="I109" s="52">
        <f t="shared" si="15"/>
        <v>0</v>
      </c>
      <c r="J109" s="53">
        <f t="shared" si="16"/>
        <v>0</v>
      </c>
      <c r="K109" s="54">
        <f t="shared" si="17"/>
        <v>0</v>
      </c>
      <c r="L109" s="55">
        <f t="shared" si="18"/>
        <v>0</v>
      </c>
      <c r="M109" s="55">
        <f t="shared" si="19"/>
        <v>0</v>
      </c>
      <c r="N109" s="55">
        <f t="shared" si="20"/>
        <v>0</v>
      </c>
      <c r="O109" s="53">
        <f t="shared" si="21"/>
        <v>0</v>
      </c>
      <c r="P109" s="54">
        <f t="shared" si="22"/>
        <v>0</v>
      </c>
      <c r="Q109" s="54">
        <f t="shared" si="23"/>
        <v>0</v>
      </c>
      <c r="R109" s="17">
        <v>4</v>
      </c>
      <c r="S109" s="17">
        <f>4.58/500</f>
        <v>0.00916</v>
      </c>
      <c r="T109" s="57">
        <f t="shared" si="13"/>
        <v>0.9159999999999999</v>
      </c>
      <c r="U109" s="15">
        <v>0.6</v>
      </c>
      <c r="V109" s="17" t="s">
        <v>64</v>
      </c>
      <c r="W109" s="58"/>
      <c r="X109" s="17" t="s">
        <v>318</v>
      </c>
      <c r="AB109" s="74">
        <f>4.58/500</f>
        <v>0.00916</v>
      </c>
      <c r="AC109" s="74" t="s">
        <v>64</v>
      </c>
      <c r="AD109" s="58"/>
      <c r="AE109" s="58" t="s">
        <v>64</v>
      </c>
      <c r="AF109" s="17">
        <f>4.58/500</f>
        <v>0.00916</v>
      </c>
      <c r="AG109" s="58"/>
      <c r="AH109" s="17">
        <f>4.58/500</f>
        <v>0.00916</v>
      </c>
      <c r="AI109" s="58"/>
    </row>
    <row r="110" spans="1:35" s="17" customFormat="1" ht="31.5" customHeight="1" thickBot="1">
      <c r="A110" s="76" t="s">
        <v>115</v>
      </c>
      <c r="B110" s="121"/>
      <c r="C110" s="120"/>
      <c r="D110" s="120"/>
      <c r="E110" s="120"/>
      <c r="F110" s="120"/>
      <c r="G110" s="120"/>
      <c r="H110" s="52">
        <f t="shared" si="14"/>
        <v>0</v>
      </c>
      <c r="I110" s="52">
        <f t="shared" si="15"/>
        <v>0</v>
      </c>
      <c r="J110" s="53">
        <f t="shared" si="16"/>
        <v>0</v>
      </c>
      <c r="K110" s="54">
        <f t="shared" si="17"/>
        <v>0</v>
      </c>
      <c r="L110" s="55">
        <f t="shared" si="18"/>
        <v>0</v>
      </c>
      <c r="M110" s="55">
        <f t="shared" si="19"/>
        <v>0</v>
      </c>
      <c r="N110" s="55">
        <f t="shared" si="20"/>
        <v>0</v>
      </c>
      <c r="O110" s="53">
        <f t="shared" si="21"/>
        <v>0</v>
      </c>
      <c r="P110" s="54">
        <f t="shared" si="22"/>
        <v>0</v>
      </c>
      <c r="Q110" s="54">
        <f t="shared" si="23"/>
        <v>0</v>
      </c>
      <c r="R110" s="17">
        <v>10</v>
      </c>
      <c r="S110" s="17">
        <f>6.97/1000</f>
        <v>0.00697</v>
      </c>
      <c r="T110" s="57">
        <f t="shared" si="13"/>
        <v>0.697</v>
      </c>
      <c r="U110" s="17">
        <v>0.75</v>
      </c>
      <c r="V110" s="113" t="s">
        <v>373</v>
      </c>
      <c r="W110" s="58" t="s">
        <v>320</v>
      </c>
      <c r="AB110" s="74">
        <f>6.97/1000</f>
        <v>0.00697</v>
      </c>
      <c r="AC110" s="74" t="s">
        <v>198</v>
      </c>
      <c r="AD110" s="58" t="s">
        <v>320</v>
      </c>
      <c r="AE110" s="58" t="s">
        <v>19</v>
      </c>
      <c r="AF110" s="17">
        <f>6.04/1000</f>
        <v>0.00604</v>
      </c>
      <c r="AG110" s="58"/>
      <c r="AH110" s="113">
        <f>2.95/400</f>
        <v>0.0073750000000000005</v>
      </c>
      <c r="AI110" s="58" t="s">
        <v>319</v>
      </c>
    </row>
    <row r="111" spans="1:35" s="17" customFormat="1" ht="31.5" customHeight="1" thickBot="1">
      <c r="A111" s="76" t="s">
        <v>116</v>
      </c>
      <c r="B111" s="119"/>
      <c r="C111" s="120"/>
      <c r="D111" s="120"/>
      <c r="E111" s="120"/>
      <c r="F111" s="120"/>
      <c r="G111" s="120"/>
      <c r="H111" s="52">
        <f t="shared" si="14"/>
        <v>0</v>
      </c>
      <c r="I111" s="52">
        <f t="shared" si="15"/>
        <v>0</v>
      </c>
      <c r="J111" s="53">
        <f t="shared" si="16"/>
        <v>0</v>
      </c>
      <c r="K111" s="54">
        <f t="shared" si="17"/>
        <v>0</v>
      </c>
      <c r="L111" s="55">
        <f t="shared" si="18"/>
        <v>0</v>
      </c>
      <c r="M111" s="55">
        <f t="shared" si="19"/>
        <v>0</v>
      </c>
      <c r="N111" s="55">
        <f t="shared" si="20"/>
        <v>0</v>
      </c>
      <c r="O111" s="53">
        <f t="shared" si="21"/>
        <v>0</v>
      </c>
      <c r="P111" s="54">
        <f t="shared" si="22"/>
        <v>0</v>
      </c>
      <c r="Q111" s="54">
        <f t="shared" si="23"/>
        <v>0</v>
      </c>
      <c r="R111" s="61">
        <v>20</v>
      </c>
      <c r="S111" s="74">
        <f>4.15/500</f>
        <v>0.0083</v>
      </c>
      <c r="T111" s="57">
        <f t="shared" si="13"/>
        <v>0.83</v>
      </c>
      <c r="U111" s="17">
        <v>0</v>
      </c>
      <c r="V111" s="113" t="s">
        <v>398</v>
      </c>
      <c r="W111" s="58" t="s">
        <v>235</v>
      </c>
      <c r="AB111" s="74">
        <f>8.55/1000</f>
        <v>0.00855</v>
      </c>
      <c r="AC111" s="74" t="s">
        <v>64</v>
      </c>
      <c r="AD111" s="58"/>
      <c r="AE111" s="58" t="s">
        <v>19</v>
      </c>
      <c r="AF111" s="17">
        <f>8.55/1000</f>
        <v>0.00855</v>
      </c>
      <c r="AG111" s="58"/>
      <c r="AH111" s="113">
        <f>4.15/500</f>
        <v>0.0083</v>
      </c>
      <c r="AI111" s="58" t="s">
        <v>416</v>
      </c>
    </row>
    <row r="112" spans="1:35" s="17" customFormat="1" ht="31.5" customHeight="1" thickBot="1">
      <c r="A112" s="76" t="s">
        <v>117</v>
      </c>
      <c r="B112" s="119"/>
      <c r="C112" s="120"/>
      <c r="D112" s="120"/>
      <c r="E112" s="120"/>
      <c r="F112" s="120"/>
      <c r="G112" s="120"/>
      <c r="H112" s="52">
        <f t="shared" si="14"/>
        <v>0</v>
      </c>
      <c r="I112" s="52">
        <f t="shared" si="15"/>
        <v>0</v>
      </c>
      <c r="J112" s="53">
        <f t="shared" si="16"/>
        <v>0</v>
      </c>
      <c r="K112" s="54">
        <f t="shared" si="17"/>
        <v>0</v>
      </c>
      <c r="L112" s="55">
        <f t="shared" si="18"/>
        <v>0</v>
      </c>
      <c r="M112" s="55">
        <f t="shared" si="19"/>
        <v>0</v>
      </c>
      <c r="N112" s="55">
        <f t="shared" si="20"/>
        <v>0</v>
      </c>
      <c r="O112" s="53">
        <f t="shared" si="21"/>
        <v>0</v>
      </c>
      <c r="P112" s="54">
        <f t="shared" si="22"/>
        <v>0</v>
      </c>
      <c r="Q112" s="54">
        <f t="shared" si="23"/>
        <v>0</v>
      </c>
      <c r="R112" s="17">
        <v>1</v>
      </c>
      <c r="S112" s="17">
        <v>0.01100107585671705</v>
      </c>
      <c r="T112" s="57">
        <f t="shared" si="13"/>
        <v>1.100107585671705</v>
      </c>
      <c r="U112" s="17">
        <v>0.5</v>
      </c>
      <c r="V112" s="17" t="s">
        <v>64</v>
      </c>
      <c r="W112" s="58"/>
      <c r="X112" s="17" t="s">
        <v>318</v>
      </c>
      <c r="AB112" s="74">
        <v>0.01100107585671705</v>
      </c>
      <c r="AC112" s="74" t="s">
        <v>64</v>
      </c>
      <c r="AD112" s="58"/>
      <c r="AE112" s="58" t="s">
        <v>64</v>
      </c>
      <c r="AF112" s="17">
        <v>0.01100107585671705</v>
      </c>
      <c r="AG112" s="58"/>
      <c r="AH112" s="17">
        <v>0.01100107585671705</v>
      </c>
      <c r="AI112" s="58"/>
    </row>
    <row r="113" spans="1:35" s="17" customFormat="1" ht="31.5" customHeight="1" thickBot="1">
      <c r="A113" s="75" t="s">
        <v>118</v>
      </c>
      <c r="B113" s="121"/>
      <c r="C113" s="120"/>
      <c r="D113" s="120"/>
      <c r="E113" s="120"/>
      <c r="F113" s="120"/>
      <c r="G113" s="120"/>
      <c r="H113" s="52">
        <f t="shared" si="14"/>
        <v>0</v>
      </c>
      <c r="I113" s="52">
        <f t="shared" si="15"/>
        <v>0</v>
      </c>
      <c r="J113" s="53">
        <f t="shared" si="16"/>
        <v>0</v>
      </c>
      <c r="K113" s="54">
        <f t="shared" si="17"/>
        <v>0</v>
      </c>
      <c r="L113" s="55">
        <f t="shared" si="18"/>
        <v>0</v>
      </c>
      <c r="M113" s="55">
        <f t="shared" si="19"/>
        <v>0</v>
      </c>
      <c r="N113" s="55">
        <f t="shared" si="20"/>
        <v>0</v>
      </c>
      <c r="O113" s="53">
        <f t="shared" si="21"/>
        <v>0</v>
      </c>
      <c r="P113" s="54">
        <f t="shared" si="22"/>
        <v>0</v>
      </c>
      <c r="Q113" s="54">
        <f t="shared" si="23"/>
        <v>0</v>
      </c>
      <c r="R113" s="15">
        <v>200</v>
      </c>
      <c r="S113" s="17">
        <f>(2.9/2)/200</f>
        <v>0.0072499999999999995</v>
      </c>
      <c r="T113" s="57">
        <f t="shared" si="13"/>
        <v>0.725</v>
      </c>
      <c r="U113" s="15">
        <v>1</v>
      </c>
      <c r="V113" s="17" t="s">
        <v>162</v>
      </c>
      <c r="W113" s="58"/>
      <c r="X113" s="17" t="s">
        <v>321</v>
      </c>
      <c r="AB113" s="74">
        <f>(2.9/2)/200</f>
        <v>0.0072499999999999995</v>
      </c>
      <c r="AC113" s="74" t="s">
        <v>162</v>
      </c>
      <c r="AD113" s="58"/>
      <c r="AE113" s="58" t="s">
        <v>64</v>
      </c>
      <c r="AF113" s="17">
        <f>3/1000</f>
        <v>0.003</v>
      </c>
      <c r="AG113" s="58"/>
      <c r="AH113" s="113">
        <f>(3.25/2)/200</f>
        <v>0.008125</v>
      </c>
      <c r="AI113" s="58" t="s">
        <v>322</v>
      </c>
    </row>
    <row r="114" spans="1:35" s="17" customFormat="1" ht="31.5" customHeight="1" thickBot="1">
      <c r="A114" s="75" t="s">
        <v>119</v>
      </c>
      <c r="B114" s="121"/>
      <c r="C114" s="120"/>
      <c r="D114" s="120"/>
      <c r="E114" s="120"/>
      <c r="F114" s="120"/>
      <c r="G114" s="120"/>
      <c r="H114" s="52">
        <f t="shared" si="14"/>
        <v>0</v>
      </c>
      <c r="I114" s="52">
        <f t="shared" si="15"/>
        <v>0</v>
      </c>
      <c r="J114" s="53">
        <f t="shared" si="16"/>
        <v>0</v>
      </c>
      <c r="K114" s="54">
        <f t="shared" si="17"/>
        <v>0</v>
      </c>
      <c r="L114" s="55">
        <f t="shared" si="18"/>
        <v>0</v>
      </c>
      <c r="M114" s="55">
        <f t="shared" si="19"/>
        <v>0</v>
      </c>
      <c r="N114" s="55">
        <f t="shared" si="20"/>
        <v>0</v>
      </c>
      <c r="O114" s="53">
        <f t="shared" si="21"/>
        <v>0</v>
      </c>
      <c r="P114" s="54">
        <f t="shared" si="22"/>
        <v>0</v>
      </c>
      <c r="Q114" s="54">
        <f t="shared" si="23"/>
        <v>0</v>
      </c>
      <c r="R114" s="15">
        <v>400</v>
      </c>
      <c r="S114" s="17">
        <f>2.2/1000</f>
        <v>0.0022</v>
      </c>
      <c r="T114" s="57">
        <f t="shared" si="13"/>
        <v>0.22</v>
      </c>
      <c r="U114" s="15">
        <v>1</v>
      </c>
      <c r="V114" s="113" t="s">
        <v>356</v>
      </c>
      <c r="W114" s="58" t="s">
        <v>323</v>
      </c>
      <c r="AB114" s="74">
        <f>1.85/1000</f>
        <v>0.00185</v>
      </c>
      <c r="AC114" s="74" t="s">
        <v>159</v>
      </c>
      <c r="AD114" s="58" t="s">
        <v>323</v>
      </c>
      <c r="AE114" s="58" t="s">
        <v>19</v>
      </c>
      <c r="AF114" s="17">
        <f>1/1000</f>
        <v>0.001</v>
      </c>
      <c r="AG114" s="58"/>
      <c r="AH114" s="113">
        <f>17.5/7000</f>
        <v>0.0025</v>
      </c>
      <c r="AI114" s="58" t="s">
        <v>324</v>
      </c>
    </row>
    <row r="115" spans="1:35" s="17" customFormat="1" ht="31.5" customHeight="1" thickBot="1">
      <c r="A115" s="75" t="s">
        <v>120</v>
      </c>
      <c r="B115" s="122"/>
      <c r="C115" s="120"/>
      <c r="D115" s="120"/>
      <c r="E115" s="120"/>
      <c r="F115" s="120"/>
      <c r="G115" s="120"/>
      <c r="H115" s="52">
        <f t="shared" si="14"/>
        <v>0</v>
      </c>
      <c r="I115" s="52">
        <f t="shared" si="15"/>
        <v>0</v>
      </c>
      <c r="J115" s="53">
        <f t="shared" si="16"/>
        <v>0</v>
      </c>
      <c r="K115" s="54">
        <f t="shared" si="17"/>
        <v>0</v>
      </c>
      <c r="L115" s="55">
        <f t="shared" si="18"/>
        <v>0</v>
      </c>
      <c r="M115" s="55">
        <f t="shared" si="19"/>
        <v>0</v>
      </c>
      <c r="N115" s="55">
        <f t="shared" si="20"/>
        <v>0</v>
      </c>
      <c r="O115" s="53">
        <f t="shared" si="21"/>
        <v>0</v>
      </c>
      <c r="P115" s="54">
        <f t="shared" si="22"/>
        <v>0</v>
      </c>
      <c r="Q115" s="54">
        <f t="shared" si="23"/>
        <v>0</v>
      </c>
      <c r="R115" s="61">
        <v>10</v>
      </c>
      <c r="S115" s="17">
        <f>6.25/1000</f>
        <v>0.00625</v>
      </c>
      <c r="T115" s="57">
        <f t="shared" si="13"/>
        <v>0.625</v>
      </c>
      <c r="U115" s="15">
        <v>0.4</v>
      </c>
      <c r="V115" s="113" t="s">
        <v>356</v>
      </c>
      <c r="W115" s="58" t="s">
        <v>393</v>
      </c>
      <c r="AB115" s="74">
        <f>4.38/1000</f>
        <v>0.00438</v>
      </c>
      <c r="AC115" s="74" t="s">
        <v>198</v>
      </c>
      <c r="AD115" s="58" t="s">
        <v>325</v>
      </c>
      <c r="AE115" s="58" t="s">
        <v>19</v>
      </c>
      <c r="AF115" s="17">
        <f>10/1000</f>
        <v>0.01</v>
      </c>
      <c r="AG115" s="58"/>
      <c r="AH115" s="113">
        <f>12.45/1000</f>
        <v>0.01245</v>
      </c>
      <c r="AI115" s="58" t="s">
        <v>326</v>
      </c>
    </row>
    <row r="116" spans="1:35" s="17" customFormat="1" ht="31.5" customHeight="1" thickBot="1" thickTop="1">
      <c r="A116" s="76" t="s">
        <v>121</v>
      </c>
      <c r="B116" s="123"/>
      <c r="C116" s="120"/>
      <c r="D116" s="120"/>
      <c r="E116" s="120"/>
      <c r="F116" s="120"/>
      <c r="G116" s="120"/>
      <c r="H116" s="52">
        <f t="shared" si="14"/>
        <v>0</v>
      </c>
      <c r="I116" s="52">
        <f t="shared" si="15"/>
        <v>0</v>
      </c>
      <c r="J116" s="53">
        <f t="shared" si="16"/>
        <v>0</v>
      </c>
      <c r="K116" s="54">
        <f t="shared" si="17"/>
        <v>0</v>
      </c>
      <c r="L116" s="55">
        <f t="shared" si="18"/>
        <v>0</v>
      </c>
      <c r="M116" s="55">
        <f t="shared" si="19"/>
        <v>0</v>
      </c>
      <c r="N116" s="55">
        <f t="shared" si="20"/>
        <v>0</v>
      </c>
      <c r="O116" s="53">
        <f t="shared" si="21"/>
        <v>0</v>
      </c>
      <c r="P116" s="54">
        <f t="shared" si="22"/>
        <v>0</v>
      </c>
      <c r="Q116" s="54">
        <f t="shared" si="23"/>
        <v>0</v>
      </c>
      <c r="R116" s="15">
        <v>500</v>
      </c>
      <c r="S116" s="17">
        <f>0.7/500</f>
        <v>0.0014</v>
      </c>
      <c r="T116" s="57">
        <f t="shared" si="13"/>
        <v>0.13999999999999999</v>
      </c>
      <c r="U116" s="17">
        <v>0</v>
      </c>
      <c r="V116" s="113" t="s">
        <v>356</v>
      </c>
      <c r="W116" s="58" t="s">
        <v>327</v>
      </c>
      <c r="AB116" s="74">
        <f>0.9/500</f>
        <v>0.0018</v>
      </c>
      <c r="AC116" s="74" t="s">
        <v>159</v>
      </c>
      <c r="AD116" s="58" t="s">
        <v>327</v>
      </c>
      <c r="AE116" s="58" t="s">
        <v>19</v>
      </c>
      <c r="AF116" s="17">
        <f>0.9/500</f>
        <v>0.0018</v>
      </c>
      <c r="AG116" s="58"/>
      <c r="AH116" s="113">
        <f>2.5/500</f>
        <v>0.005</v>
      </c>
      <c r="AI116" s="58" t="s">
        <v>328</v>
      </c>
    </row>
    <row r="117" spans="1:35" s="17" customFormat="1" ht="31.5" customHeight="1" thickBot="1" thickTop="1">
      <c r="A117" s="75" t="s">
        <v>122</v>
      </c>
      <c r="B117" s="123"/>
      <c r="C117" s="120"/>
      <c r="D117" s="120"/>
      <c r="E117" s="120"/>
      <c r="F117" s="120"/>
      <c r="G117" s="120"/>
      <c r="H117" s="52">
        <f t="shared" si="14"/>
        <v>0</v>
      </c>
      <c r="I117" s="52">
        <f t="shared" si="15"/>
        <v>0</v>
      </c>
      <c r="J117" s="53">
        <f t="shared" si="16"/>
        <v>0</v>
      </c>
      <c r="K117" s="54">
        <f t="shared" si="17"/>
        <v>0</v>
      </c>
      <c r="L117" s="55">
        <f t="shared" si="18"/>
        <v>0</v>
      </c>
      <c r="M117" s="55">
        <f t="shared" si="19"/>
        <v>0</v>
      </c>
      <c r="N117" s="55">
        <f t="shared" si="20"/>
        <v>0</v>
      </c>
      <c r="O117" s="53">
        <f t="shared" si="21"/>
        <v>0</v>
      </c>
      <c r="P117" s="54">
        <f t="shared" si="22"/>
        <v>0</v>
      </c>
      <c r="Q117" s="54">
        <f t="shared" si="23"/>
        <v>0</v>
      </c>
      <c r="R117" s="15">
        <v>14</v>
      </c>
      <c r="S117" s="17">
        <f>10/1000</f>
        <v>0.01</v>
      </c>
      <c r="T117" s="57">
        <f t="shared" si="13"/>
        <v>1</v>
      </c>
      <c r="U117" s="15"/>
      <c r="V117" s="113" t="s">
        <v>356</v>
      </c>
      <c r="W117" s="58" t="s">
        <v>330</v>
      </c>
      <c r="AB117" s="74">
        <f>9.72/1000</f>
        <v>0.009720000000000001</v>
      </c>
      <c r="AC117" s="74" t="s">
        <v>159</v>
      </c>
      <c r="AD117" s="58" t="s">
        <v>330</v>
      </c>
      <c r="AE117" s="58" t="s">
        <v>19</v>
      </c>
      <c r="AF117" s="17">
        <f>9.15/1000</f>
        <v>0.00915</v>
      </c>
      <c r="AG117" s="58"/>
      <c r="AH117" s="113">
        <f>(2.05/4)/14</f>
        <v>0.03660714285714285</v>
      </c>
      <c r="AI117" s="58" t="s">
        <v>332</v>
      </c>
    </row>
    <row r="118" spans="1:35" s="17" customFormat="1" ht="31.5" customHeight="1" thickBot="1" thickTop="1">
      <c r="A118" s="75" t="s">
        <v>123</v>
      </c>
      <c r="B118" s="123"/>
      <c r="C118" s="120"/>
      <c r="D118" s="120"/>
      <c r="E118" s="120"/>
      <c r="F118" s="120"/>
      <c r="G118" s="120"/>
      <c r="H118" s="52">
        <f t="shared" si="14"/>
        <v>0</v>
      </c>
      <c r="I118" s="52">
        <f t="shared" si="15"/>
        <v>0</v>
      </c>
      <c r="J118" s="53">
        <f t="shared" si="16"/>
        <v>0</v>
      </c>
      <c r="K118" s="54">
        <f t="shared" si="17"/>
        <v>0</v>
      </c>
      <c r="L118" s="55">
        <f t="shared" si="18"/>
        <v>0</v>
      </c>
      <c r="M118" s="55">
        <f t="shared" si="19"/>
        <v>0</v>
      </c>
      <c r="N118" s="55">
        <f t="shared" si="20"/>
        <v>0</v>
      </c>
      <c r="O118" s="53">
        <f t="shared" si="21"/>
        <v>0</v>
      </c>
      <c r="P118" s="54">
        <f t="shared" si="22"/>
        <v>0</v>
      </c>
      <c r="Q118" s="54">
        <f t="shared" si="23"/>
        <v>0</v>
      </c>
      <c r="R118" s="15">
        <v>100</v>
      </c>
      <c r="S118" s="17">
        <f>0.725/100</f>
        <v>0.0072499999999999995</v>
      </c>
      <c r="T118" s="57">
        <f t="shared" si="13"/>
        <v>0.725</v>
      </c>
      <c r="U118" s="15">
        <v>0</v>
      </c>
      <c r="V118" s="113" t="s">
        <v>373</v>
      </c>
      <c r="W118" s="64" t="s">
        <v>329</v>
      </c>
      <c r="AB118" s="74">
        <f>0.775/100</f>
        <v>0.00775</v>
      </c>
      <c r="AC118" s="74" t="s">
        <v>198</v>
      </c>
      <c r="AD118" s="80" t="s">
        <v>329</v>
      </c>
      <c r="AE118" s="58" t="s">
        <v>19</v>
      </c>
      <c r="AF118" s="17">
        <f>0.82/180</f>
        <v>0.004555555555555555</v>
      </c>
      <c r="AG118" s="58"/>
      <c r="AH118" s="113">
        <f>3.75/100</f>
        <v>0.0375</v>
      </c>
      <c r="AI118" s="58" t="s">
        <v>331</v>
      </c>
    </row>
    <row r="119" spans="1:35" s="17" customFormat="1" ht="31.5" customHeight="1" thickBot="1" thickTop="1">
      <c r="A119" s="75" t="s">
        <v>124</v>
      </c>
      <c r="B119" s="124"/>
      <c r="C119" s="120"/>
      <c r="D119" s="120"/>
      <c r="E119" s="120"/>
      <c r="F119" s="120"/>
      <c r="G119" s="120"/>
      <c r="H119" s="52">
        <f t="shared" si="14"/>
        <v>0</v>
      </c>
      <c r="I119" s="52">
        <f t="shared" si="15"/>
        <v>0</v>
      </c>
      <c r="J119" s="53">
        <f t="shared" si="16"/>
        <v>0</v>
      </c>
      <c r="K119" s="54">
        <f t="shared" si="17"/>
        <v>0</v>
      </c>
      <c r="L119" s="55">
        <f t="shared" si="18"/>
        <v>0</v>
      </c>
      <c r="M119" s="55">
        <f t="shared" si="19"/>
        <v>0</v>
      </c>
      <c r="N119" s="55">
        <f t="shared" si="20"/>
        <v>0</v>
      </c>
      <c r="O119" s="53">
        <f t="shared" si="21"/>
        <v>0</v>
      </c>
      <c r="P119" s="54">
        <f t="shared" si="22"/>
        <v>0</v>
      </c>
      <c r="Q119" s="54">
        <f t="shared" si="23"/>
        <v>0</v>
      </c>
      <c r="R119" s="17">
        <v>5</v>
      </c>
      <c r="S119" s="17">
        <f>7.5/1000</f>
        <v>0.0075</v>
      </c>
      <c r="T119" s="57">
        <f t="shared" si="13"/>
        <v>0.75</v>
      </c>
      <c r="U119" s="15">
        <v>0.5</v>
      </c>
      <c r="V119" s="113" t="s">
        <v>356</v>
      </c>
      <c r="W119" s="58" t="s">
        <v>348</v>
      </c>
      <c r="X119" s="74" t="s">
        <v>349</v>
      </c>
      <c r="AB119" s="74">
        <f>8/1000</f>
        <v>0.008</v>
      </c>
      <c r="AC119" s="74" t="s">
        <v>159</v>
      </c>
      <c r="AD119" s="58" t="s">
        <v>348</v>
      </c>
      <c r="AE119" s="58" t="s">
        <v>19</v>
      </c>
      <c r="AF119" s="17">
        <f>8.15/1000</f>
        <v>0.008150000000000001</v>
      </c>
      <c r="AG119" s="58"/>
      <c r="AH119" s="113">
        <f>12.5/1000</f>
        <v>0.0125</v>
      </c>
      <c r="AI119" s="58" t="s">
        <v>333</v>
      </c>
    </row>
    <row r="120" spans="1:35" s="17" customFormat="1" ht="31.5" customHeight="1" thickBot="1" thickTop="1">
      <c r="A120" s="75" t="s">
        <v>125</v>
      </c>
      <c r="B120" s="123"/>
      <c r="C120" s="120"/>
      <c r="D120" s="120"/>
      <c r="E120" s="120"/>
      <c r="F120" s="120"/>
      <c r="G120" s="120"/>
      <c r="H120" s="52">
        <f t="shared" si="14"/>
        <v>0</v>
      </c>
      <c r="I120" s="52">
        <f t="shared" si="15"/>
        <v>0</v>
      </c>
      <c r="J120" s="53">
        <f t="shared" si="16"/>
        <v>0</v>
      </c>
      <c r="K120" s="54">
        <f t="shared" si="17"/>
        <v>0</v>
      </c>
      <c r="L120" s="55">
        <f t="shared" si="18"/>
        <v>0</v>
      </c>
      <c r="M120" s="55">
        <f t="shared" si="19"/>
        <v>0</v>
      </c>
      <c r="N120" s="55">
        <f t="shared" si="20"/>
        <v>0</v>
      </c>
      <c r="O120" s="53">
        <f t="shared" si="21"/>
        <v>0</v>
      </c>
      <c r="P120" s="54">
        <f t="shared" si="22"/>
        <v>0</v>
      </c>
      <c r="Q120" s="54">
        <f t="shared" si="23"/>
        <v>0</v>
      </c>
      <c r="R120" s="17">
        <v>25</v>
      </c>
      <c r="S120" s="17">
        <f>1.8/1000</f>
        <v>0.0018</v>
      </c>
      <c r="T120" s="57">
        <f t="shared" si="13"/>
        <v>0.18</v>
      </c>
      <c r="U120" s="15">
        <v>0.5</v>
      </c>
      <c r="V120" s="113" t="s">
        <v>373</v>
      </c>
      <c r="W120" s="58" t="s">
        <v>335</v>
      </c>
      <c r="AB120" s="74">
        <f>1.9/1000</f>
        <v>0.0019</v>
      </c>
      <c r="AC120" s="74" t="s">
        <v>198</v>
      </c>
      <c r="AD120" s="58" t="s">
        <v>335</v>
      </c>
      <c r="AE120" s="58" t="s">
        <v>19</v>
      </c>
      <c r="AF120" s="17">
        <f>6.67/1000</f>
        <v>0.00667</v>
      </c>
      <c r="AG120" s="58"/>
      <c r="AH120" s="113">
        <f>10/1000</f>
        <v>0.01</v>
      </c>
      <c r="AI120" s="58" t="s">
        <v>334</v>
      </c>
    </row>
    <row r="121" spans="1:35" s="17" customFormat="1" ht="31.5" customHeight="1" thickBot="1" thickTop="1">
      <c r="A121" s="76" t="s">
        <v>126</v>
      </c>
      <c r="B121" s="123"/>
      <c r="C121" s="120"/>
      <c r="D121" s="120"/>
      <c r="E121" s="120"/>
      <c r="F121" s="120"/>
      <c r="G121" s="120"/>
      <c r="H121" s="52">
        <f t="shared" si="14"/>
        <v>0</v>
      </c>
      <c r="I121" s="52">
        <f t="shared" si="15"/>
        <v>0</v>
      </c>
      <c r="J121" s="53">
        <f t="shared" si="16"/>
        <v>0</v>
      </c>
      <c r="K121" s="54">
        <f t="shared" si="17"/>
        <v>0</v>
      </c>
      <c r="L121" s="55">
        <f t="shared" si="18"/>
        <v>0</v>
      </c>
      <c r="M121" s="55">
        <f t="shared" si="19"/>
        <v>0</v>
      </c>
      <c r="N121" s="55">
        <f t="shared" si="20"/>
        <v>0</v>
      </c>
      <c r="O121" s="53">
        <f t="shared" si="21"/>
        <v>0</v>
      </c>
      <c r="P121" s="54">
        <f t="shared" si="22"/>
        <v>0</v>
      </c>
      <c r="Q121" s="54">
        <f t="shared" si="23"/>
        <v>0</v>
      </c>
      <c r="R121" s="17">
        <v>60</v>
      </c>
      <c r="S121" s="17">
        <f>2.1/1000</f>
        <v>0.0021000000000000003</v>
      </c>
      <c r="T121" s="57">
        <f t="shared" si="13"/>
        <v>0.21000000000000002</v>
      </c>
      <c r="U121" s="17">
        <v>0</v>
      </c>
      <c r="V121" s="113" t="s">
        <v>406</v>
      </c>
      <c r="W121" s="58" t="s">
        <v>417</v>
      </c>
      <c r="AB121" s="74">
        <f>2.4/1000</f>
        <v>0.0024</v>
      </c>
      <c r="AC121" s="74" t="s">
        <v>314</v>
      </c>
      <c r="AD121" s="58" t="s">
        <v>336</v>
      </c>
      <c r="AE121" s="58" t="s">
        <v>19</v>
      </c>
      <c r="AF121" s="17">
        <v>0.0028599999999999997</v>
      </c>
      <c r="AG121" s="58"/>
      <c r="AH121" s="113">
        <f>3.45/750</f>
        <v>0.0046</v>
      </c>
      <c r="AI121" s="58" t="s">
        <v>337</v>
      </c>
    </row>
    <row r="122" spans="1:35" s="17" customFormat="1" ht="31.5" customHeight="1" thickBot="1" thickTop="1">
      <c r="A122" s="75" t="s">
        <v>127</v>
      </c>
      <c r="B122" s="123"/>
      <c r="C122" s="120"/>
      <c r="D122" s="120"/>
      <c r="E122" s="120"/>
      <c r="F122" s="120"/>
      <c r="G122" s="120"/>
      <c r="H122" s="52">
        <f t="shared" si="14"/>
        <v>0</v>
      </c>
      <c r="I122" s="52">
        <f t="shared" si="15"/>
        <v>0</v>
      </c>
      <c r="J122" s="53">
        <f t="shared" si="16"/>
        <v>0</v>
      </c>
      <c r="K122" s="54">
        <f t="shared" si="17"/>
        <v>0</v>
      </c>
      <c r="L122" s="55">
        <f t="shared" si="18"/>
        <v>0</v>
      </c>
      <c r="M122" s="55">
        <f t="shared" si="19"/>
        <v>0</v>
      </c>
      <c r="N122" s="55">
        <f t="shared" si="20"/>
        <v>0</v>
      </c>
      <c r="O122" s="53">
        <f t="shared" si="21"/>
        <v>0</v>
      </c>
      <c r="P122" s="54">
        <f t="shared" si="22"/>
        <v>0</v>
      </c>
      <c r="Q122" s="54">
        <f t="shared" si="23"/>
        <v>0</v>
      </c>
      <c r="R122" s="15">
        <v>1</v>
      </c>
      <c r="S122" s="17">
        <f>14.34/1000</f>
        <v>0.01434</v>
      </c>
      <c r="T122" s="57">
        <f t="shared" si="13"/>
        <v>1.434</v>
      </c>
      <c r="U122" s="15">
        <v>0</v>
      </c>
      <c r="V122" s="113" t="s">
        <v>159</v>
      </c>
      <c r="W122" s="58" t="s">
        <v>338</v>
      </c>
      <c r="AB122" s="74">
        <f>17.34/1000</f>
        <v>0.01734</v>
      </c>
      <c r="AC122" s="74" t="s">
        <v>159</v>
      </c>
      <c r="AD122" s="58" t="s">
        <v>338</v>
      </c>
      <c r="AE122" s="58" t="s">
        <v>19</v>
      </c>
      <c r="AF122" s="17">
        <f>15.34/1000</f>
        <v>0.01534</v>
      </c>
      <c r="AG122" s="58"/>
      <c r="AH122" s="113">
        <f>2/100</f>
        <v>0.02</v>
      </c>
      <c r="AI122" s="58" t="s">
        <v>394</v>
      </c>
    </row>
    <row r="123" spans="1:35" s="17" customFormat="1" ht="31.5" customHeight="1" thickBot="1" thickTop="1">
      <c r="A123" s="75" t="s">
        <v>128</v>
      </c>
      <c r="B123" s="124"/>
      <c r="C123" s="120"/>
      <c r="D123" s="120"/>
      <c r="E123" s="120"/>
      <c r="F123" s="120"/>
      <c r="G123" s="120"/>
      <c r="H123" s="52">
        <f t="shared" si="14"/>
        <v>0</v>
      </c>
      <c r="I123" s="52">
        <f t="shared" si="15"/>
        <v>0</v>
      </c>
      <c r="J123" s="53">
        <f t="shared" si="16"/>
        <v>0</v>
      </c>
      <c r="K123" s="54">
        <f t="shared" si="17"/>
        <v>0</v>
      </c>
      <c r="L123" s="55">
        <f t="shared" si="18"/>
        <v>0</v>
      </c>
      <c r="M123" s="55">
        <f t="shared" si="19"/>
        <v>0</v>
      </c>
      <c r="N123" s="55">
        <f t="shared" si="20"/>
        <v>0</v>
      </c>
      <c r="O123" s="53">
        <f t="shared" si="21"/>
        <v>0</v>
      </c>
      <c r="P123" s="54">
        <f t="shared" si="22"/>
        <v>0</v>
      </c>
      <c r="Q123" s="54">
        <f t="shared" si="23"/>
        <v>0</v>
      </c>
      <c r="R123" s="15">
        <v>1</v>
      </c>
      <c r="S123" s="17">
        <f>15/1000</f>
        <v>0.015</v>
      </c>
      <c r="T123" s="57">
        <f t="shared" si="13"/>
        <v>1.5</v>
      </c>
      <c r="U123" s="15">
        <v>0.25</v>
      </c>
      <c r="V123" s="113" t="s">
        <v>406</v>
      </c>
      <c r="W123" s="58" t="s">
        <v>313</v>
      </c>
      <c r="AB123" s="74">
        <f>15/1000</f>
        <v>0.015</v>
      </c>
      <c r="AC123" s="74" t="s">
        <v>314</v>
      </c>
      <c r="AD123" s="58" t="s">
        <v>313</v>
      </c>
      <c r="AE123" s="58" t="s">
        <v>19</v>
      </c>
      <c r="AF123" s="17">
        <f>16/1000</f>
        <v>0.016</v>
      </c>
      <c r="AG123" s="58"/>
      <c r="AH123" s="113">
        <f>3.05/125</f>
        <v>0.024399999999999998</v>
      </c>
      <c r="AI123" s="58" t="s">
        <v>315</v>
      </c>
    </row>
    <row r="124" spans="1:35" ht="16.5" thickTop="1">
      <c r="A124" s="5"/>
      <c r="B124" s="3"/>
      <c r="C124" s="3"/>
      <c r="D124" s="3"/>
      <c r="E124" s="19"/>
      <c r="F124" s="19"/>
      <c r="G124" s="19"/>
      <c r="H124" s="3"/>
      <c r="I124" s="3"/>
      <c r="J124" s="3"/>
      <c r="K124" s="3"/>
      <c r="L124" s="19"/>
      <c r="M124" s="19"/>
      <c r="N124" s="19"/>
      <c r="O124" s="3"/>
      <c r="P124" s="3"/>
      <c r="Q124" s="3"/>
      <c r="R124" s="3"/>
      <c r="S124" s="2"/>
      <c r="T124" s="3"/>
      <c r="U124" s="3"/>
      <c r="V124" s="3"/>
      <c r="W124" s="3"/>
      <c r="X124" s="3"/>
      <c r="Y124" s="3"/>
      <c r="Z124" s="3"/>
      <c r="AC124" s="19"/>
      <c r="AD124" s="19"/>
      <c r="AG124" s="3"/>
      <c r="AH124" s="3"/>
      <c r="AI124" s="3"/>
    </row>
    <row r="125" spans="1:35" ht="15.75">
      <c r="A125" s="5"/>
      <c r="B125" s="3"/>
      <c r="C125" s="3"/>
      <c r="D125" s="3"/>
      <c r="E125" s="19"/>
      <c r="F125" s="19"/>
      <c r="G125" s="19"/>
      <c r="H125" s="3"/>
      <c r="I125" s="3"/>
      <c r="J125" s="3"/>
      <c r="K125" s="3"/>
      <c r="L125" s="19"/>
      <c r="M125" s="19"/>
      <c r="N125" s="19"/>
      <c r="O125" s="3"/>
      <c r="P125" s="3"/>
      <c r="Q125" s="3"/>
      <c r="R125" s="3"/>
      <c r="S125" s="2"/>
      <c r="T125" s="3"/>
      <c r="U125" s="3"/>
      <c r="V125" s="3"/>
      <c r="W125" s="3"/>
      <c r="X125" s="3"/>
      <c r="Y125" s="3"/>
      <c r="Z125" s="3"/>
      <c r="AC125" s="19"/>
      <c r="AD125" s="19"/>
      <c r="AG125" s="3"/>
      <c r="AH125" s="3"/>
      <c r="AI125" s="3"/>
    </row>
    <row r="126" spans="1:35" ht="15.75">
      <c r="A126" s="5"/>
      <c r="B126" s="3"/>
      <c r="C126" s="3"/>
      <c r="D126" s="3"/>
      <c r="E126" s="19"/>
      <c r="F126" s="19"/>
      <c r="G126" s="19"/>
      <c r="H126" s="3"/>
      <c r="I126" s="3"/>
      <c r="J126" s="3"/>
      <c r="K126" s="3"/>
      <c r="L126" s="19"/>
      <c r="M126" s="19"/>
      <c r="N126" s="19"/>
      <c r="O126" s="3"/>
      <c r="P126" s="3"/>
      <c r="Q126" s="3"/>
      <c r="R126" s="3"/>
      <c r="S126" s="2"/>
      <c r="T126" s="3"/>
      <c r="U126" s="3"/>
      <c r="V126" s="3"/>
      <c r="W126" s="3"/>
      <c r="X126" s="3"/>
      <c r="Y126" s="3"/>
      <c r="Z126" s="3"/>
      <c r="AC126" s="19"/>
      <c r="AD126" s="19"/>
      <c r="AG126" s="3"/>
      <c r="AH126" s="3"/>
      <c r="AI126" s="3"/>
    </row>
    <row r="127" spans="1:35" ht="15.75">
      <c r="A127" s="5"/>
      <c r="B127" s="3"/>
      <c r="C127" s="3"/>
      <c r="D127" s="3"/>
      <c r="E127" s="19"/>
      <c r="F127" s="19"/>
      <c r="G127" s="19"/>
      <c r="H127" s="3"/>
      <c r="I127" s="3"/>
      <c r="J127" s="3"/>
      <c r="K127" s="3"/>
      <c r="L127" s="19"/>
      <c r="M127" s="19"/>
      <c r="N127" s="19"/>
      <c r="O127" s="3"/>
      <c r="P127" s="3"/>
      <c r="Q127" s="3"/>
      <c r="R127" s="3"/>
      <c r="S127" s="2"/>
      <c r="T127" s="3"/>
      <c r="U127" s="3"/>
      <c r="V127" s="3"/>
      <c r="W127" s="3"/>
      <c r="X127" s="3"/>
      <c r="Y127" s="3"/>
      <c r="Z127" s="3"/>
      <c r="AC127" s="19"/>
      <c r="AD127" s="19"/>
      <c r="AG127" s="3"/>
      <c r="AH127" s="3"/>
      <c r="AI127" s="3"/>
    </row>
    <row r="128" spans="1:35" ht="15.75">
      <c r="A128" s="5"/>
      <c r="B128" s="3"/>
      <c r="C128" s="3"/>
      <c r="D128" s="3"/>
      <c r="E128" s="19"/>
      <c r="F128" s="19"/>
      <c r="G128" s="19"/>
      <c r="H128" s="3"/>
      <c r="I128" s="3"/>
      <c r="J128" s="3"/>
      <c r="K128" s="3"/>
      <c r="L128" s="19"/>
      <c r="M128" s="19"/>
      <c r="N128" s="19"/>
      <c r="O128" s="3"/>
      <c r="P128" s="3"/>
      <c r="Q128" s="3"/>
      <c r="R128" s="3"/>
      <c r="S128" s="2"/>
      <c r="T128" s="3"/>
      <c r="U128" s="3"/>
      <c r="V128" s="3"/>
      <c r="W128" s="3"/>
      <c r="X128" s="3"/>
      <c r="Y128" s="3"/>
      <c r="Z128" s="3"/>
      <c r="AC128" s="19"/>
      <c r="AD128" s="19"/>
      <c r="AG128" s="3"/>
      <c r="AH128" s="3"/>
      <c r="AI128" s="3"/>
    </row>
    <row r="129" spans="1:35" ht="15.75">
      <c r="A129" s="5"/>
      <c r="B129" s="3"/>
      <c r="C129" s="3"/>
      <c r="D129" s="3"/>
      <c r="E129" s="19"/>
      <c r="F129" s="19"/>
      <c r="G129" s="19"/>
      <c r="H129" s="3"/>
      <c r="I129" s="3"/>
      <c r="J129" s="3"/>
      <c r="K129" s="3"/>
      <c r="L129" s="19"/>
      <c r="M129" s="19"/>
      <c r="N129" s="19"/>
      <c r="O129" s="3"/>
      <c r="P129" s="3"/>
      <c r="Q129" s="3"/>
      <c r="R129" s="3"/>
      <c r="S129" s="2"/>
      <c r="T129" s="3"/>
      <c r="U129" s="3"/>
      <c r="V129" s="3"/>
      <c r="W129" s="3"/>
      <c r="X129" s="3"/>
      <c r="Y129" s="3"/>
      <c r="Z129" s="3"/>
      <c r="AC129" s="19"/>
      <c r="AD129" s="19"/>
      <c r="AG129" s="3"/>
      <c r="AH129" s="3"/>
      <c r="AI129" s="3"/>
    </row>
    <row r="130" spans="1:35" ht="15.75">
      <c r="A130" s="5"/>
      <c r="B130" s="3"/>
      <c r="C130" s="3"/>
      <c r="D130" s="3"/>
      <c r="E130" s="19"/>
      <c r="F130" s="19"/>
      <c r="G130" s="19"/>
      <c r="H130" s="3"/>
      <c r="I130" s="3"/>
      <c r="J130" s="3"/>
      <c r="K130" s="3"/>
      <c r="L130" s="19"/>
      <c r="M130" s="19"/>
      <c r="N130" s="19"/>
      <c r="O130" s="3"/>
      <c r="P130" s="3"/>
      <c r="Q130" s="3"/>
      <c r="R130" s="3"/>
      <c r="S130" s="2"/>
      <c r="T130" s="3"/>
      <c r="U130" s="3"/>
      <c r="V130" s="3"/>
      <c r="W130" s="3"/>
      <c r="X130" s="3"/>
      <c r="Y130" s="3"/>
      <c r="Z130" s="3"/>
      <c r="AC130" s="19"/>
      <c r="AD130" s="19"/>
      <c r="AG130" s="3"/>
      <c r="AH130" s="3"/>
      <c r="AI130" s="3"/>
    </row>
    <row r="131" spans="1:35" ht="15.75">
      <c r="A131" s="5"/>
      <c r="B131" s="3"/>
      <c r="C131" s="3"/>
      <c r="D131" s="3"/>
      <c r="E131" s="19"/>
      <c r="F131" s="19"/>
      <c r="G131" s="19"/>
      <c r="H131" s="3"/>
      <c r="I131" s="3"/>
      <c r="J131" s="3"/>
      <c r="K131" s="3"/>
      <c r="L131" s="19"/>
      <c r="M131" s="19"/>
      <c r="N131" s="19"/>
      <c r="O131" s="3"/>
      <c r="P131" s="3"/>
      <c r="Q131" s="3"/>
      <c r="R131" s="3"/>
      <c r="S131" s="2"/>
      <c r="T131" s="3"/>
      <c r="U131" s="3"/>
      <c r="V131" s="3"/>
      <c r="W131" s="3"/>
      <c r="X131" s="3"/>
      <c r="Y131" s="3"/>
      <c r="Z131" s="3"/>
      <c r="AC131" s="19"/>
      <c r="AD131" s="19"/>
      <c r="AG131" s="3"/>
      <c r="AH131" s="3"/>
      <c r="AI131" s="3"/>
    </row>
    <row r="132" spans="1:35" ht="15.75">
      <c r="A132" s="5"/>
      <c r="B132" s="3"/>
      <c r="C132" s="3"/>
      <c r="D132" s="3"/>
      <c r="E132" s="19"/>
      <c r="F132" s="19"/>
      <c r="G132" s="19"/>
      <c r="H132" s="3"/>
      <c r="I132" s="3"/>
      <c r="J132" s="3"/>
      <c r="K132" s="3"/>
      <c r="L132" s="19"/>
      <c r="M132" s="19"/>
      <c r="N132" s="19"/>
      <c r="O132" s="3"/>
      <c r="P132" s="3"/>
      <c r="Q132" s="3"/>
      <c r="R132" s="3"/>
      <c r="S132" s="2"/>
      <c r="T132" s="3"/>
      <c r="U132" s="3"/>
      <c r="V132" s="3"/>
      <c r="W132" s="3"/>
      <c r="X132" s="3"/>
      <c r="Y132" s="3"/>
      <c r="Z132" s="3"/>
      <c r="AC132" s="19"/>
      <c r="AD132" s="19"/>
      <c r="AG132" s="3"/>
      <c r="AH132" s="3"/>
      <c r="AI132" s="3"/>
    </row>
    <row r="133" spans="1:35" ht="15.75">
      <c r="A133" s="5"/>
      <c r="B133" s="3"/>
      <c r="C133" s="3"/>
      <c r="D133" s="3"/>
      <c r="E133" s="19"/>
      <c r="F133" s="19"/>
      <c r="G133" s="19"/>
      <c r="H133" s="3"/>
      <c r="I133" s="3"/>
      <c r="J133" s="3"/>
      <c r="K133" s="3"/>
      <c r="L133" s="19"/>
      <c r="M133" s="19"/>
      <c r="N133" s="19"/>
      <c r="O133" s="3"/>
      <c r="P133" s="3"/>
      <c r="Q133" s="3"/>
      <c r="R133" s="3"/>
      <c r="S133" s="2"/>
      <c r="T133" s="3"/>
      <c r="U133" s="3"/>
      <c r="V133" s="3"/>
      <c r="W133" s="3"/>
      <c r="X133" s="3"/>
      <c r="Y133" s="3"/>
      <c r="Z133" s="3"/>
      <c r="AC133" s="19"/>
      <c r="AD133" s="19"/>
      <c r="AG133" s="3"/>
      <c r="AH133" s="3"/>
      <c r="AI133" s="3"/>
    </row>
    <row r="134" spans="1:35" ht="15.75">
      <c r="A134" s="5"/>
      <c r="B134" s="3"/>
      <c r="C134" s="3"/>
      <c r="D134" s="3"/>
      <c r="E134" s="19"/>
      <c r="F134" s="19"/>
      <c r="G134" s="19"/>
      <c r="H134" s="3"/>
      <c r="I134" s="3"/>
      <c r="J134" s="3"/>
      <c r="K134" s="3"/>
      <c r="L134" s="19"/>
      <c r="M134" s="19"/>
      <c r="N134" s="19"/>
      <c r="O134" s="3"/>
      <c r="P134" s="3"/>
      <c r="Q134" s="3"/>
      <c r="R134" s="3"/>
      <c r="S134" s="2"/>
      <c r="T134" s="3"/>
      <c r="U134" s="3"/>
      <c r="V134" s="3"/>
      <c r="W134" s="3"/>
      <c r="X134" s="3"/>
      <c r="Y134" s="3"/>
      <c r="Z134" s="3"/>
      <c r="AC134" s="19"/>
      <c r="AD134" s="19"/>
      <c r="AG134" s="3"/>
      <c r="AH134" s="3"/>
      <c r="AI134" s="3"/>
    </row>
    <row r="135" spans="1:35" ht="15.75">
      <c r="A135" s="5"/>
      <c r="B135" s="3"/>
      <c r="C135" s="3"/>
      <c r="D135" s="3"/>
      <c r="E135" s="19"/>
      <c r="F135" s="19"/>
      <c r="G135" s="19"/>
      <c r="H135" s="3"/>
      <c r="I135" s="3"/>
      <c r="J135" s="3"/>
      <c r="K135" s="3"/>
      <c r="L135" s="19"/>
      <c r="M135" s="19"/>
      <c r="N135" s="19"/>
      <c r="O135" s="3"/>
      <c r="P135" s="3"/>
      <c r="Q135" s="3"/>
      <c r="R135" s="3"/>
      <c r="S135" s="2"/>
      <c r="T135" s="3"/>
      <c r="U135" s="3"/>
      <c r="V135" s="3"/>
      <c r="W135" s="3"/>
      <c r="X135" s="3"/>
      <c r="Y135" s="3"/>
      <c r="Z135" s="3"/>
      <c r="AC135" s="19"/>
      <c r="AD135" s="19"/>
      <c r="AG135" s="3"/>
      <c r="AH135" s="3"/>
      <c r="AI135" s="3"/>
    </row>
    <row r="136" spans="1:35" ht="15.75">
      <c r="A136" s="5"/>
      <c r="B136" s="3"/>
      <c r="C136" s="3"/>
      <c r="D136" s="3"/>
      <c r="E136" s="19"/>
      <c r="F136" s="19"/>
      <c r="G136" s="19"/>
      <c r="H136" s="3"/>
      <c r="I136" s="3"/>
      <c r="J136" s="3"/>
      <c r="K136" s="3"/>
      <c r="L136" s="19"/>
      <c r="M136" s="19"/>
      <c r="N136" s="19"/>
      <c r="O136" s="3"/>
      <c r="P136" s="3"/>
      <c r="Q136" s="3"/>
      <c r="R136" s="3"/>
      <c r="S136" s="2"/>
      <c r="T136" s="3"/>
      <c r="U136" s="3"/>
      <c r="V136" s="3"/>
      <c r="W136" s="3"/>
      <c r="X136" s="3"/>
      <c r="Y136" s="3"/>
      <c r="Z136" s="3"/>
      <c r="AC136" s="19"/>
      <c r="AD136" s="19"/>
      <c r="AG136" s="3"/>
      <c r="AH136" s="3"/>
      <c r="AI136" s="3"/>
    </row>
    <row r="137" spans="1:35" ht="15.75">
      <c r="A137" s="5"/>
      <c r="B137" s="3"/>
      <c r="C137" s="3"/>
      <c r="D137" s="3"/>
      <c r="E137" s="19"/>
      <c r="F137" s="19"/>
      <c r="G137" s="19"/>
      <c r="H137" s="3"/>
      <c r="I137" s="3"/>
      <c r="J137" s="3"/>
      <c r="K137" s="3"/>
      <c r="L137" s="19"/>
      <c r="M137" s="19"/>
      <c r="N137" s="19"/>
      <c r="O137" s="3"/>
      <c r="P137" s="3"/>
      <c r="Q137" s="3"/>
      <c r="R137" s="3"/>
      <c r="S137" s="2"/>
      <c r="T137" s="3"/>
      <c r="U137" s="3"/>
      <c r="V137" s="3"/>
      <c r="W137" s="3"/>
      <c r="X137" s="3"/>
      <c r="Y137" s="3"/>
      <c r="Z137" s="3"/>
      <c r="AC137" s="19"/>
      <c r="AD137" s="19"/>
      <c r="AG137" s="3"/>
      <c r="AH137" s="3"/>
      <c r="AI137" s="3"/>
    </row>
    <row r="138" spans="1:35" ht="15.75">
      <c r="A138" s="5"/>
      <c r="B138" s="3"/>
      <c r="C138" s="3"/>
      <c r="D138" s="3"/>
      <c r="E138" s="19"/>
      <c r="F138" s="19"/>
      <c r="G138" s="19"/>
      <c r="H138" s="3"/>
      <c r="I138" s="3"/>
      <c r="J138" s="3"/>
      <c r="K138" s="3"/>
      <c r="L138" s="19"/>
      <c r="M138" s="19"/>
      <c r="N138" s="19"/>
      <c r="O138" s="3"/>
      <c r="P138" s="3"/>
      <c r="Q138" s="3"/>
      <c r="R138" s="3"/>
      <c r="S138" s="2"/>
      <c r="T138" s="3"/>
      <c r="U138" s="3"/>
      <c r="V138" s="3"/>
      <c r="W138" s="3"/>
      <c r="X138" s="3"/>
      <c r="Y138" s="3"/>
      <c r="Z138" s="3"/>
      <c r="AC138" s="19"/>
      <c r="AD138" s="19"/>
      <c r="AG138" s="3"/>
      <c r="AH138" s="3"/>
      <c r="AI138" s="3"/>
    </row>
    <row r="139" spans="1:35" ht="15.75">
      <c r="A139" s="5"/>
      <c r="B139" s="3"/>
      <c r="C139" s="3"/>
      <c r="D139" s="3"/>
      <c r="E139" s="19"/>
      <c r="F139" s="19"/>
      <c r="G139" s="19"/>
      <c r="H139" s="3"/>
      <c r="I139" s="3"/>
      <c r="J139" s="3"/>
      <c r="K139" s="3"/>
      <c r="L139" s="19"/>
      <c r="M139" s="19"/>
      <c r="N139" s="19"/>
      <c r="O139" s="3"/>
      <c r="P139" s="3"/>
      <c r="Q139" s="3"/>
      <c r="R139" s="3"/>
      <c r="S139" s="2"/>
      <c r="T139" s="3"/>
      <c r="U139" s="3"/>
      <c r="V139" s="3"/>
      <c r="W139" s="3"/>
      <c r="X139" s="3"/>
      <c r="Y139" s="3"/>
      <c r="Z139" s="3"/>
      <c r="AC139" s="19"/>
      <c r="AD139" s="19"/>
      <c r="AG139" s="3"/>
      <c r="AH139" s="3"/>
      <c r="AI139" s="3"/>
    </row>
    <row r="140" spans="1:35" ht="15.75">
      <c r="A140" s="5"/>
      <c r="B140" s="3"/>
      <c r="C140" s="3"/>
      <c r="D140" s="3"/>
      <c r="E140" s="19"/>
      <c r="F140" s="19"/>
      <c r="G140" s="19"/>
      <c r="H140" s="3"/>
      <c r="I140" s="3"/>
      <c r="J140" s="3"/>
      <c r="K140" s="3"/>
      <c r="L140" s="19"/>
      <c r="M140" s="19"/>
      <c r="N140" s="19"/>
      <c r="O140" s="3"/>
      <c r="P140" s="3"/>
      <c r="Q140" s="3"/>
      <c r="R140" s="3"/>
      <c r="S140" s="2"/>
      <c r="T140" s="3"/>
      <c r="U140" s="3"/>
      <c r="V140" s="3"/>
      <c r="W140" s="3"/>
      <c r="X140" s="3"/>
      <c r="Y140" s="3"/>
      <c r="Z140" s="3"/>
      <c r="AC140" s="19"/>
      <c r="AD140" s="19"/>
      <c r="AG140" s="3"/>
      <c r="AH140" s="3"/>
      <c r="AI140" s="3"/>
    </row>
    <row r="141" spans="1:35" ht="15.75">
      <c r="A141" s="5"/>
      <c r="B141" s="3"/>
      <c r="C141" s="3"/>
      <c r="D141" s="3"/>
      <c r="E141" s="19"/>
      <c r="F141" s="19"/>
      <c r="G141" s="19"/>
      <c r="H141" s="3"/>
      <c r="I141" s="3"/>
      <c r="J141" s="3"/>
      <c r="K141" s="3"/>
      <c r="L141" s="19"/>
      <c r="M141" s="19"/>
      <c r="N141" s="19"/>
      <c r="O141" s="3"/>
      <c r="P141" s="3"/>
      <c r="Q141" s="3"/>
      <c r="R141" s="3"/>
      <c r="S141" s="2"/>
      <c r="T141" s="3"/>
      <c r="U141" s="3"/>
      <c r="V141" s="3"/>
      <c r="W141" s="3"/>
      <c r="X141" s="3"/>
      <c r="Y141" s="3"/>
      <c r="Z141" s="3"/>
      <c r="AC141" s="19"/>
      <c r="AD141" s="19"/>
      <c r="AG141" s="3"/>
      <c r="AH141" s="3"/>
      <c r="AI141" s="3"/>
    </row>
    <row r="142" spans="1:35" ht="15.75">
      <c r="A142" s="5"/>
      <c r="B142" s="3"/>
      <c r="C142" s="3"/>
      <c r="D142" s="3"/>
      <c r="E142" s="19"/>
      <c r="F142" s="19"/>
      <c r="G142" s="19"/>
      <c r="H142" s="3"/>
      <c r="I142" s="3"/>
      <c r="J142" s="3"/>
      <c r="K142" s="3"/>
      <c r="L142" s="19"/>
      <c r="M142" s="19"/>
      <c r="N142" s="19"/>
      <c r="O142" s="3"/>
      <c r="P142" s="3"/>
      <c r="Q142" s="3"/>
      <c r="R142" s="3"/>
      <c r="S142" s="2"/>
      <c r="T142" s="3"/>
      <c r="U142" s="3"/>
      <c r="V142" s="3"/>
      <c r="W142" s="3"/>
      <c r="X142" s="3"/>
      <c r="Y142" s="3"/>
      <c r="Z142" s="3"/>
      <c r="AC142" s="19"/>
      <c r="AD142" s="19"/>
      <c r="AG142" s="3"/>
      <c r="AH142" s="3"/>
      <c r="AI142" s="3"/>
    </row>
    <row r="143" spans="1:35" ht="15.75">
      <c r="A143" s="5"/>
      <c r="B143" s="3"/>
      <c r="C143" s="3"/>
      <c r="D143" s="3"/>
      <c r="E143" s="19"/>
      <c r="F143" s="19"/>
      <c r="G143" s="19"/>
      <c r="H143" s="3"/>
      <c r="I143" s="3"/>
      <c r="J143" s="3"/>
      <c r="K143" s="3"/>
      <c r="L143" s="19"/>
      <c r="M143" s="19"/>
      <c r="N143" s="19"/>
      <c r="O143" s="3"/>
      <c r="P143" s="3"/>
      <c r="Q143" s="3"/>
      <c r="R143" s="3"/>
      <c r="S143" s="2"/>
      <c r="T143" s="3"/>
      <c r="U143" s="3"/>
      <c r="V143" s="3"/>
      <c r="W143" s="3"/>
      <c r="X143" s="3"/>
      <c r="Y143" s="3"/>
      <c r="Z143" s="3"/>
      <c r="AC143" s="19"/>
      <c r="AD143" s="19"/>
      <c r="AG143" s="3"/>
      <c r="AH143" s="3"/>
      <c r="AI143" s="3"/>
    </row>
    <row r="144" spans="1:35" ht="15.75">
      <c r="A144" s="5"/>
      <c r="B144" s="3"/>
      <c r="C144" s="3"/>
      <c r="D144" s="3"/>
      <c r="E144" s="19"/>
      <c r="F144" s="19"/>
      <c r="G144" s="19"/>
      <c r="H144" s="3"/>
      <c r="I144" s="3"/>
      <c r="J144" s="3"/>
      <c r="K144" s="3"/>
      <c r="L144" s="19"/>
      <c r="M144" s="19"/>
      <c r="N144" s="19"/>
      <c r="O144" s="3"/>
      <c r="P144" s="3"/>
      <c r="Q144" s="3"/>
      <c r="R144" s="3"/>
      <c r="S144" s="2"/>
      <c r="T144" s="3"/>
      <c r="U144" s="3"/>
      <c r="V144" s="3"/>
      <c r="W144" s="3"/>
      <c r="X144" s="3"/>
      <c r="Y144" s="3"/>
      <c r="Z144" s="3"/>
      <c r="AC144" s="19"/>
      <c r="AD144" s="19"/>
      <c r="AG144" s="3"/>
      <c r="AH144" s="3"/>
      <c r="AI144" s="3"/>
    </row>
    <row r="145" spans="1:35" ht="15.75">
      <c r="A145" s="5"/>
      <c r="B145" s="3"/>
      <c r="C145" s="3"/>
      <c r="D145" s="3"/>
      <c r="E145" s="19"/>
      <c r="F145" s="19"/>
      <c r="G145" s="19"/>
      <c r="H145" s="3"/>
      <c r="I145" s="3"/>
      <c r="J145" s="3"/>
      <c r="K145" s="3"/>
      <c r="L145" s="19"/>
      <c r="M145" s="19"/>
      <c r="N145" s="19"/>
      <c r="O145" s="3"/>
      <c r="P145" s="3"/>
      <c r="Q145" s="3"/>
      <c r="R145" s="3"/>
      <c r="S145" s="2"/>
      <c r="T145" s="3"/>
      <c r="U145" s="3"/>
      <c r="V145" s="3"/>
      <c r="W145" s="3"/>
      <c r="X145" s="3"/>
      <c r="Y145" s="3"/>
      <c r="Z145" s="3"/>
      <c r="AC145" s="19"/>
      <c r="AD145" s="19"/>
      <c r="AG145" s="3"/>
      <c r="AH145" s="3"/>
      <c r="AI145" s="3"/>
    </row>
    <row r="146" spans="1:35" ht="15.75">
      <c r="A146" s="5"/>
      <c r="B146" s="3"/>
      <c r="C146" s="3"/>
      <c r="D146" s="3"/>
      <c r="E146" s="19"/>
      <c r="F146" s="19"/>
      <c r="G146" s="19"/>
      <c r="H146" s="3"/>
      <c r="I146" s="3"/>
      <c r="J146" s="3"/>
      <c r="K146" s="3"/>
      <c r="L146" s="19"/>
      <c r="M146" s="19"/>
      <c r="N146" s="19"/>
      <c r="O146" s="3"/>
      <c r="P146" s="3"/>
      <c r="Q146" s="3"/>
      <c r="R146" s="3"/>
      <c r="S146" s="2"/>
      <c r="T146" s="3"/>
      <c r="U146" s="3"/>
      <c r="V146" s="3"/>
      <c r="W146" s="3"/>
      <c r="X146" s="3"/>
      <c r="Y146" s="3"/>
      <c r="Z146" s="3"/>
      <c r="AC146" s="19"/>
      <c r="AD146" s="19"/>
      <c r="AG146" s="3"/>
      <c r="AH146" s="3"/>
      <c r="AI146" s="3"/>
    </row>
    <row r="147" spans="1:35" ht="15.75">
      <c r="A147" s="5"/>
      <c r="B147" s="3"/>
      <c r="C147" s="3"/>
      <c r="D147" s="3"/>
      <c r="E147" s="19"/>
      <c r="F147" s="19"/>
      <c r="G147" s="19"/>
      <c r="H147" s="3"/>
      <c r="I147" s="3"/>
      <c r="J147" s="3"/>
      <c r="K147" s="3"/>
      <c r="L147" s="19"/>
      <c r="M147" s="19"/>
      <c r="N147" s="19"/>
      <c r="O147" s="3"/>
      <c r="P147" s="3"/>
      <c r="Q147" s="3"/>
      <c r="R147" s="3"/>
      <c r="S147" s="2"/>
      <c r="T147" s="3"/>
      <c r="U147" s="3"/>
      <c r="V147" s="3"/>
      <c r="W147" s="3"/>
      <c r="X147" s="3"/>
      <c r="Y147" s="3"/>
      <c r="Z147" s="3"/>
      <c r="AC147" s="19"/>
      <c r="AD147" s="19"/>
      <c r="AG147" s="3"/>
      <c r="AH147" s="3"/>
      <c r="AI147" s="3"/>
    </row>
    <row r="148" spans="1:35" ht="15.75">
      <c r="A148" s="5"/>
      <c r="B148" s="3"/>
      <c r="C148" s="3"/>
      <c r="D148" s="3"/>
      <c r="E148" s="19"/>
      <c r="F148" s="19"/>
      <c r="G148" s="19"/>
      <c r="H148" s="3"/>
      <c r="I148" s="3"/>
      <c r="J148" s="3"/>
      <c r="K148" s="3"/>
      <c r="L148" s="19"/>
      <c r="M148" s="19"/>
      <c r="N148" s="19"/>
      <c r="O148" s="3"/>
      <c r="P148" s="3"/>
      <c r="Q148" s="3"/>
      <c r="R148" s="3"/>
      <c r="S148" s="2"/>
      <c r="T148" s="3"/>
      <c r="U148" s="3"/>
      <c r="V148" s="3"/>
      <c r="W148" s="3"/>
      <c r="X148" s="3"/>
      <c r="Y148" s="3"/>
      <c r="Z148" s="3"/>
      <c r="AC148" s="19"/>
      <c r="AD148" s="19"/>
      <c r="AG148" s="3"/>
      <c r="AH148" s="3"/>
      <c r="AI148" s="3"/>
    </row>
    <row r="149" spans="1:35" ht="15.75">
      <c r="A149" s="5"/>
      <c r="B149" s="3"/>
      <c r="C149" s="3"/>
      <c r="D149" s="3"/>
      <c r="E149" s="19"/>
      <c r="F149" s="19"/>
      <c r="G149" s="19"/>
      <c r="H149" s="3"/>
      <c r="I149" s="3"/>
      <c r="J149" s="3"/>
      <c r="K149" s="3"/>
      <c r="L149" s="19"/>
      <c r="M149" s="19"/>
      <c r="N149" s="19"/>
      <c r="O149" s="3"/>
      <c r="P149" s="3"/>
      <c r="Q149" s="3"/>
      <c r="R149" s="3"/>
      <c r="S149" s="2"/>
      <c r="T149" s="3"/>
      <c r="U149" s="3"/>
      <c r="V149" s="3"/>
      <c r="W149" s="3"/>
      <c r="X149" s="3"/>
      <c r="Y149" s="3"/>
      <c r="Z149" s="3"/>
      <c r="AC149" s="19"/>
      <c r="AD149" s="19"/>
      <c r="AG149" s="3"/>
      <c r="AH149" s="3"/>
      <c r="AI149" s="3"/>
    </row>
    <row r="150" spans="1:35" ht="15.75">
      <c r="A150" s="5"/>
      <c r="B150" s="3"/>
      <c r="C150" s="3"/>
      <c r="D150" s="3"/>
      <c r="E150" s="19"/>
      <c r="F150" s="19"/>
      <c r="G150" s="19"/>
      <c r="H150" s="3"/>
      <c r="I150" s="3"/>
      <c r="J150" s="3"/>
      <c r="K150" s="3"/>
      <c r="L150" s="19"/>
      <c r="M150" s="19"/>
      <c r="N150" s="19"/>
      <c r="O150" s="3"/>
      <c r="P150" s="3"/>
      <c r="Q150" s="3"/>
      <c r="R150" s="3"/>
      <c r="S150" s="2"/>
      <c r="T150" s="3"/>
      <c r="U150" s="3"/>
      <c r="V150" s="3"/>
      <c r="W150" s="3"/>
      <c r="X150" s="3"/>
      <c r="Y150" s="3"/>
      <c r="Z150" s="3"/>
      <c r="AC150" s="19"/>
      <c r="AD150" s="19"/>
      <c r="AG150" s="3"/>
      <c r="AH150" s="3"/>
      <c r="AI150" s="3"/>
    </row>
    <row r="151" spans="1:35" ht="15.75">
      <c r="A151" s="1"/>
      <c r="R151" s="2"/>
      <c r="S151" s="2"/>
      <c r="X151" s="3"/>
      <c r="Y151" s="3"/>
      <c r="Z151" s="3"/>
      <c r="AG151" s="2"/>
      <c r="AH151" s="2"/>
      <c r="AI151" s="2"/>
    </row>
    <row r="152" spans="1:35" ht="15.75">
      <c r="A152" s="1"/>
      <c r="R152" s="2"/>
      <c r="S152" s="2"/>
      <c r="X152" s="3"/>
      <c r="Y152" s="3"/>
      <c r="Z152" s="3"/>
      <c r="AG152" s="2"/>
      <c r="AH152" s="2"/>
      <c r="AI152" s="2"/>
    </row>
    <row r="153" spans="1:35" ht="15.75">
      <c r="A153" s="1"/>
      <c r="R153" s="2"/>
      <c r="S153" s="2"/>
      <c r="X153" s="3"/>
      <c r="Y153" s="3"/>
      <c r="Z153" s="3"/>
      <c r="AG153" s="2"/>
      <c r="AH153" s="2"/>
      <c r="AI153" s="2"/>
    </row>
    <row r="154" spans="1:35" ht="15.75">
      <c r="A154" s="1"/>
      <c r="R154" s="2"/>
      <c r="S154" s="2"/>
      <c r="X154" s="3"/>
      <c r="Y154" s="3"/>
      <c r="Z154" s="3"/>
      <c r="AG154" s="2"/>
      <c r="AH154" s="2"/>
      <c r="AI154" s="2"/>
    </row>
    <row r="155" spans="1:35" ht="15.75">
      <c r="A155" s="1"/>
      <c r="R155" s="2"/>
      <c r="S155" s="2"/>
      <c r="X155" s="3"/>
      <c r="Y155" s="3"/>
      <c r="Z155" s="3"/>
      <c r="AG155" s="2"/>
      <c r="AH155" s="2"/>
      <c r="AI155" s="2"/>
    </row>
    <row r="156" spans="1:35" ht="15.75">
      <c r="A156" s="1"/>
      <c r="R156" s="2"/>
      <c r="S156" s="2"/>
      <c r="X156" s="3"/>
      <c r="Y156" s="3"/>
      <c r="Z156" s="3"/>
      <c r="AG156" s="2"/>
      <c r="AH156" s="2"/>
      <c r="AI156" s="2"/>
    </row>
    <row r="157" spans="1:35" ht="15.75">
      <c r="A157" s="1"/>
      <c r="R157" s="2"/>
      <c r="S157" s="2"/>
      <c r="X157" s="3"/>
      <c r="Y157" s="3"/>
      <c r="Z157" s="3"/>
      <c r="AG157" s="2"/>
      <c r="AH157" s="2"/>
      <c r="AI157" s="2"/>
    </row>
    <row r="158" spans="1:35" ht="15.75">
      <c r="A158" s="1"/>
      <c r="R158" s="2"/>
      <c r="S158" s="2"/>
      <c r="X158" s="3"/>
      <c r="Y158" s="3"/>
      <c r="Z158" s="3"/>
      <c r="AG158" s="2"/>
      <c r="AH158" s="2"/>
      <c r="AI158" s="2"/>
    </row>
    <row r="159" spans="1:35" ht="15.75">
      <c r="A159" s="1"/>
      <c r="R159" s="2"/>
      <c r="S159" s="2"/>
      <c r="X159" s="3"/>
      <c r="Y159" s="3"/>
      <c r="Z159" s="3"/>
      <c r="AG159" s="2"/>
      <c r="AH159" s="2"/>
      <c r="AI159" s="2"/>
    </row>
    <row r="160" spans="1:35" ht="15.75">
      <c r="A160" s="1"/>
      <c r="R160" s="2"/>
      <c r="S160" s="2"/>
      <c r="X160" s="3"/>
      <c r="Y160" s="3"/>
      <c r="Z160" s="3"/>
      <c r="AG160" s="2"/>
      <c r="AH160" s="2"/>
      <c r="AI160" s="2"/>
    </row>
    <row r="161" spans="1:35" ht="15.75">
      <c r="A161" s="1"/>
      <c r="R161" s="2"/>
      <c r="S161" s="2"/>
      <c r="X161" s="3"/>
      <c r="Y161" s="3"/>
      <c r="Z161" s="3"/>
      <c r="AG161" s="2"/>
      <c r="AH161" s="2"/>
      <c r="AI161" s="2"/>
    </row>
    <row r="162" spans="1:35" ht="15.75">
      <c r="A162" s="1"/>
      <c r="R162" s="2"/>
      <c r="S162" s="2"/>
      <c r="X162" s="3"/>
      <c r="Y162" s="3"/>
      <c r="Z162" s="3"/>
      <c r="AG162" s="2"/>
      <c r="AH162" s="2"/>
      <c r="AI162" s="2"/>
    </row>
    <row r="163" spans="1:35" ht="15.75">
      <c r="A163" s="1"/>
      <c r="R163" s="2"/>
      <c r="S163" s="2"/>
      <c r="X163" s="3"/>
      <c r="Y163" s="3"/>
      <c r="Z163" s="3"/>
      <c r="AG163" s="2"/>
      <c r="AH163" s="2"/>
      <c r="AI163" s="2"/>
    </row>
    <row r="164" spans="1:35" ht="15.75">
      <c r="A164" s="1"/>
      <c r="R164" s="2"/>
      <c r="S164" s="2"/>
      <c r="X164" s="3"/>
      <c r="Y164" s="3"/>
      <c r="Z164" s="3"/>
      <c r="AG164" s="2"/>
      <c r="AH164" s="2"/>
      <c r="AI164" s="2"/>
    </row>
    <row r="165" spans="1:35" ht="15.75">
      <c r="A165" s="1"/>
      <c r="R165" s="2"/>
      <c r="S165" s="2"/>
      <c r="X165" s="3"/>
      <c r="Y165" s="3"/>
      <c r="Z165" s="3"/>
      <c r="AG165" s="2"/>
      <c r="AH165" s="2"/>
      <c r="AI165" s="2"/>
    </row>
    <row r="166" spans="1:35" ht="15.75">
      <c r="A166" s="1"/>
      <c r="R166" s="2"/>
      <c r="S166" s="2"/>
      <c r="X166" s="3"/>
      <c r="Y166" s="3"/>
      <c r="Z166" s="3"/>
      <c r="AG166" s="2"/>
      <c r="AH166" s="2"/>
      <c r="AI166" s="2"/>
    </row>
    <row r="167" spans="1:35" ht="15.75">
      <c r="A167" s="1"/>
      <c r="R167" s="2"/>
      <c r="S167" s="2"/>
      <c r="X167" s="3"/>
      <c r="Y167" s="3"/>
      <c r="Z167" s="3"/>
      <c r="AG167" s="2"/>
      <c r="AH167" s="2"/>
      <c r="AI167" s="2"/>
    </row>
    <row r="168" spans="1:35" ht="15.75">
      <c r="A168" s="1"/>
      <c r="R168" s="2"/>
      <c r="S168" s="2"/>
      <c r="X168" s="3"/>
      <c r="Y168" s="3"/>
      <c r="Z168" s="3"/>
      <c r="AG168" s="2"/>
      <c r="AH168" s="2"/>
      <c r="AI168" s="2"/>
    </row>
    <row r="169" spans="1:35" ht="15.75">
      <c r="A169" s="1"/>
      <c r="R169" s="2"/>
      <c r="S169" s="2"/>
      <c r="X169" s="3"/>
      <c r="Y169" s="3"/>
      <c r="Z169" s="3"/>
      <c r="AG169" s="2"/>
      <c r="AH169" s="2"/>
      <c r="AI169" s="2"/>
    </row>
    <row r="170" spans="1:35" ht="15.75">
      <c r="A170" s="1"/>
      <c r="R170" s="2"/>
      <c r="S170" s="2"/>
      <c r="X170" s="3"/>
      <c r="Y170" s="3"/>
      <c r="Z170" s="3"/>
      <c r="AG170" s="2"/>
      <c r="AH170" s="2"/>
      <c r="AI170" s="2"/>
    </row>
    <row r="171" spans="1:35" ht="15.75">
      <c r="A171" s="1"/>
      <c r="R171" s="2"/>
      <c r="S171" s="2"/>
      <c r="X171" s="3"/>
      <c r="Y171" s="3"/>
      <c r="Z171" s="3"/>
      <c r="AG171" s="2"/>
      <c r="AH171" s="2"/>
      <c r="AI171" s="2"/>
    </row>
    <row r="172" spans="1:35" ht="15.75">
      <c r="A172" s="1"/>
      <c r="R172" s="2"/>
      <c r="S172" s="2"/>
      <c r="X172" s="3"/>
      <c r="Y172" s="3"/>
      <c r="Z172" s="3"/>
      <c r="AG172" s="2"/>
      <c r="AH172" s="2"/>
      <c r="AI172" s="2"/>
    </row>
    <row r="173" spans="1:35" ht="15.75">
      <c r="A173" s="1"/>
      <c r="R173" s="2"/>
      <c r="S173" s="2"/>
      <c r="X173" s="3"/>
      <c r="Y173" s="3"/>
      <c r="Z173" s="3"/>
      <c r="AG173" s="2"/>
      <c r="AH173" s="2"/>
      <c r="AI173" s="2"/>
    </row>
    <row r="174" spans="1:35" ht="15.75">
      <c r="A174" s="1"/>
      <c r="R174" s="2"/>
      <c r="S174" s="2"/>
      <c r="X174" s="3"/>
      <c r="Y174" s="3"/>
      <c r="Z174" s="3"/>
      <c r="AG174" s="2"/>
      <c r="AH174" s="2"/>
      <c r="AI174" s="2"/>
    </row>
    <row r="175" spans="1:35" ht="15.75">
      <c r="A175" s="1"/>
      <c r="R175" s="2"/>
      <c r="S175" s="2"/>
      <c r="X175" s="3"/>
      <c r="Y175" s="3"/>
      <c r="Z175" s="3"/>
      <c r="AG175" s="2"/>
      <c r="AH175" s="2"/>
      <c r="AI175" s="2"/>
    </row>
    <row r="176" spans="1:35" ht="15.75">
      <c r="A176" s="1"/>
      <c r="R176" s="2"/>
      <c r="S176" s="2"/>
      <c r="X176" s="3"/>
      <c r="Y176" s="3"/>
      <c r="Z176" s="3"/>
      <c r="AG176" s="2"/>
      <c r="AH176" s="2"/>
      <c r="AI176" s="2"/>
    </row>
    <row r="177" spans="1:35" ht="15.75">
      <c r="A177" s="1"/>
      <c r="R177" s="2"/>
      <c r="S177" s="2"/>
      <c r="X177" s="3"/>
      <c r="Y177" s="3"/>
      <c r="Z177" s="3"/>
      <c r="AG177" s="2"/>
      <c r="AH177" s="2"/>
      <c r="AI177" s="2"/>
    </row>
    <row r="178" spans="1:35" ht="15.75">
      <c r="A178" s="1"/>
      <c r="R178" s="2"/>
      <c r="S178" s="2"/>
      <c r="X178" s="3"/>
      <c r="Y178" s="3"/>
      <c r="Z178" s="3"/>
      <c r="AG178" s="2"/>
      <c r="AH178" s="2"/>
      <c r="AI178" s="2"/>
    </row>
    <row r="179" spans="1:35" ht="15.75">
      <c r="A179" s="1"/>
      <c r="R179" s="2"/>
      <c r="S179" s="2"/>
      <c r="X179" s="3"/>
      <c r="Y179" s="3"/>
      <c r="Z179" s="3"/>
      <c r="AG179" s="2"/>
      <c r="AH179" s="2"/>
      <c r="AI179" s="2"/>
    </row>
    <row r="180" spans="1:35" ht="15.75">
      <c r="A180" s="1"/>
      <c r="R180" s="2"/>
      <c r="S180" s="2"/>
      <c r="X180" s="3"/>
      <c r="Y180" s="3"/>
      <c r="Z180" s="3"/>
      <c r="AG180" s="2"/>
      <c r="AH180" s="2"/>
      <c r="AI180" s="2"/>
    </row>
    <row r="181" spans="1:35" ht="15.75">
      <c r="A181" s="1"/>
      <c r="R181" s="2"/>
      <c r="S181" s="2"/>
      <c r="X181" s="3"/>
      <c r="Y181" s="3"/>
      <c r="Z181" s="3"/>
      <c r="AG181" s="2"/>
      <c r="AH181" s="2"/>
      <c r="AI181" s="2"/>
    </row>
    <row r="182" spans="1:35" ht="15.75">
      <c r="A182" s="1"/>
      <c r="R182" s="2"/>
      <c r="S182" s="2"/>
      <c r="X182" s="3"/>
      <c r="Y182" s="3"/>
      <c r="Z182" s="3"/>
      <c r="AG182" s="2"/>
      <c r="AH182" s="2"/>
      <c r="AI182" s="2"/>
    </row>
    <row r="183" spans="1:35" ht="15.75">
      <c r="A183" s="1"/>
      <c r="R183" s="2"/>
      <c r="S183" s="2"/>
      <c r="X183" s="3"/>
      <c r="Y183" s="3"/>
      <c r="Z183" s="3"/>
      <c r="AG183" s="2"/>
      <c r="AH183" s="2"/>
      <c r="AI183" s="2"/>
    </row>
    <row r="184" spans="1:35" ht="15.75">
      <c r="A184" s="1"/>
      <c r="R184" s="2"/>
      <c r="S184" s="2"/>
      <c r="X184" s="3"/>
      <c r="Y184" s="3"/>
      <c r="Z184" s="3"/>
      <c r="AG184" s="2"/>
      <c r="AH184" s="2"/>
      <c r="AI184" s="2"/>
    </row>
    <row r="185" spans="1:35" ht="15.75">
      <c r="A185" s="1"/>
      <c r="R185" s="2"/>
      <c r="S185" s="2"/>
      <c r="X185" s="3"/>
      <c r="Y185" s="3"/>
      <c r="Z185" s="3"/>
      <c r="AG185" s="2"/>
      <c r="AH185" s="2"/>
      <c r="AI185" s="2"/>
    </row>
    <row r="186" spans="1:35" ht="15.75">
      <c r="A186" s="1"/>
      <c r="R186" s="2"/>
      <c r="S186" s="2"/>
      <c r="X186" s="3"/>
      <c r="Y186" s="3"/>
      <c r="Z186" s="3"/>
      <c r="AG186" s="2"/>
      <c r="AH186" s="2"/>
      <c r="AI186" s="2"/>
    </row>
    <row r="187" spans="1:35" ht="15.75">
      <c r="A187" s="1"/>
      <c r="R187" s="2"/>
      <c r="S187" s="2"/>
      <c r="X187" s="3"/>
      <c r="Y187" s="3"/>
      <c r="Z187" s="3"/>
      <c r="AG187" s="2"/>
      <c r="AH187" s="2"/>
      <c r="AI187" s="2"/>
    </row>
    <row r="188" spans="1:35" ht="15.75">
      <c r="A188" s="1"/>
      <c r="R188" s="2"/>
      <c r="S188" s="2"/>
      <c r="X188" s="3"/>
      <c r="Y188" s="3"/>
      <c r="Z188" s="3"/>
      <c r="AG188" s="2"/>
      <c r="AH188" s="2"/>
      <c r="AI188" s="2"/>
    </row>
    <row r="189" spans="1:35" ht="15.75">
      <c r="A189" s="1"/>
      <c r="R189" s="2"/>
      <c r="S189" s="2"/>
      <c r="X189" s="3"/>
      <c r="Y189" s="3"/>
      <c r="Z189" s="3"/>
      <c r="AG189" s="2"/>
      <c r="AH189" s="2"/>
      <c r="AI189" s="2"/>
    </row>
    <row r="190" spans="1:35" ht="15.75">
      <c r="A190" s="1"/>
      <c r="R190" s="2"/>
      <c r="S190" s="2"/>
      <c r="X190" s="3"/>
      <c r="Y190" s="3"/>
      <c r="Z190" s="3"/>
      <c r="AG190" s="2"/>
      <c r="AH190" s="2"/>
      <c r="AI190" s="2"/>
    </row>
    <row r="191" spans="1:35" ht="15.75">
      <c r="A191" s="1"/>
      <c r="R191" s="2"/>
      <c r="S191" s="2"/>
      <c r="X191" s="3"/>
      <c r="Y191" s="3"/>
      <c r="Z191" s="3"/>
      <c r="AG191" s="2"/>
      <c r="AH191" s="2"/>
      <c r="AI191" s="2"/>
    </row>
    <row r="192" spans="1:35" ht="15.75">
      <c r="A192" s="1"/>
      <c r="R192" s="2"/>
      <c r="S192" s="2"/>
      <c r="X192" s="3"/>
      <c r="Y192" s="3"/>
      <c r="Z192" s="3"/>
      <c r="AG192" s="2"/>
      <c r="AH192" s="2"/>
      <c r="AI192" s="2"/>
    </row>
    <row r="193" spans="1:35" ht="15.75">
      <c r="A193" s="1"/>
      <c r="R193" s="2"/>
      <c r="S193" s="2"/>
      <c r="X193" s="3"/>
      <c r="Y193" s="3"/>
      <c r="Z193" s="3"/>
      <c r="AG193" s="2"/>
      <c r="AH193" s="2"/>
      <c r="AI193" s="2"/>
    </row>
    <row r="194" spans="1:35" ht="15.75">
      <c r="A194" s="1"/>
      <c r="R194" s="2"/>
      <c r="S194" s="2"/>
      <c r="X194" s="3"/>
      <c r="Y194" s="3"/>
      <c r="Z194" s="3"/>
      <c r="AG194" s="2"/>
      <c r="AH194" s="2"/>
      <c r="AI194" s="2"/>
    </row>
    <row r="195" spans="1:35" ht="15.75">
      <c r="A195" s="1"/>
      <c r="R195" s="2"/>
      <c r="S195" s="2"/>
      <c r="X195" s="3"/>
      <c r="Y195" s="3"/>
      <c r="Z195" s="3"/>
      <c r="AG195" s="2"/>
      <c r="AH195" s="2"/>
      <c r="AI195" s="2"/>
    </row>
    <row r="196" spans="1:35" ht="15.75">
      <c r="A196" s="1"/>
      <c r="R196" s="2"/>
      <c r="S196" s="2"/>
      <c r="X196" s="3"/>
      <c r="Y196" s="3"/>
      <c r="Z196" s="3"/>
      <c r="AG196" s="2"/>
      <c r="AH196" s="2"/>
      <c r="AI196" s="2"/>
    </row>
    <row r="197" spans="1:35" ht="15.75">
      <c r="A197" s="1"/>
      <c r="R197" s="2"/>
      <c r="S197" s="2"/>
      <c r="X197" s="3"/>
      <c r="Y197" s="3"/>
      <c r="Z197" s="3"/>
      <c r="AG197" s="2"/>
      <c r="AH197" s="2"/>
      <c r="AI197" s="2"/>
    </row>
    <row r="198" spans="1:35" ht="15.75">
      <c r="A198" s="1"/>
      <c r="R198" s="2"/>
      <c r="S198" s="2"/>
      <c r="X198" s="3"/>
      <c r="Y198" s="3"/>
      <c r="Z198" s="3"/>
      <c r="AG198" s="2"/>
      <c r="AH198" s="2"/>
      <c r="AI198" s="2"/>
    </row>
    <row r="199" spans="1:35" ht="15.75">
      <c r="A199" s="1"/>
      <c r="R199" s="2"/>
      <c r="S199" s="2"/>
      <c r="X199" s="3"/>
      <c r="Y199" s="3"/>
      <c r="Z199" s="3"/>
      <c r="AG199" s="2"/>
      <c r="AH199" s="2"/>
      <c r="AI199" s="2"/>
    </row>
    <row r="200" spans="1:35" ht="15.75">
      <c r="A200" s="1"/>
      <c r="R200" s="2"/>
      <c r="S200" s="2"/>
      <c r="X200" s="3"/>
      <c r="Y200" s="3"/>
      <c r="Z200" s="3"/>
      <c r="AG200" s="2"/>
      <c r="AH200" s="2"/>
      <c r="AI200" s="2"/>
    </row>
    <row r="201" spans="1:35" ht="15.75">
      <c r="A201" s="1"/>
      <c r="R201" s="2"/>
      <c r="S201" s="2"/>
      <c r="X201" s="3"/>
      <c r="Y201" s="3"/>
      <c r="Z201" s="3"/>
      <c r="AG201" s="2"/>
      <c r="AH201" s="2"/>
      <c r="AI201" s="2"/>
    </row>
    <row r="202" spans="1:35" ht="15.75">
      <c r="A202" s="1"/>
      <c r="R202" s="2"/>
      <c r="S202" s="2"/>
      <c r="X202" s="3"/>
      <c r="Y202" s="3"/>
      <c r="Z202" s="3"/>
      <c r="AG202" s="2"/>
      <c r="AH202" s="2"/>
      <c r="AI202" s="2"/>
    </row>
    <row r="203" spans="1:35" ht="15.75">
      <c r="A203" s="1"/>
      <c r="R203" s="2"/>
      <c r="S203" s="2"/>
      <c r="X203" s="3"/>
      <c r="Y203" s="3"/>
      <c r="Z203" s="3"/>
      <c r="AG203" s="2"/>
      <c r="AH203" s="2"/>
      <c r="AI203" s="2"/>
    </row>
    <row r="204" spans="1:35" ht="15.75">
      <c r="A204" s="1"/>
      <c r="R204" s="2"/>
      <c r="S204" s="2"/>
      <c r="X204" s="3"/>
      <c r="Y204" s="3"/>
      <c r="Z204" s="3"/>
      <c r="AG204" s="2"/>
      <c r="AH204" s="2"/>
      <c r="AI204" s="2"/>
    </row>
    <row r="205" spans="1:35" ht="15.75">
      <c r="A205" s="1"/>
      <c r="R205" s="2"/>
      <c r="S205" s="2"/>
      <c r="X205" s="3"/>
      <c r="Y205" s="3"/>
      <c r="Z205" s="3"/>
      <c r="AG205" s="2"/>
      <c r="AH205" s="2"/>
      <c r="AI205" s="2"/>
    </row>
    <row r="206" spans="1:35" ht="15.75">
      <c r="A206" s="1"/>
      <c r="R206" s="2"/>
      <c r="S206" s="2"/>
      <c r="X206" s="3"/>
      <c r="Y206" s="3"/>
      <c r="Z206" s="3"/>
      <c r="AG206" s="2"/>
      <c r="AH206" s="2"/>
      <c r="AI206" s="2"/>
    </row>
    <row r="207" spans="1:35" ht="15.75">
      <c r="A207" s="1"/>
      <c r="R207" s="2"/>
      <c r="S207" s="2"/>
      <c r="X207" s="3"/>
      <c r="Y207" s="3"/>
      <c r="Z207" s="3"/>
      <c r="AG207" s="2"/>
      <c r="AH207" s="2"/>
      <c r="AI207" s="2"/>
    </row>
    <row r="208" spans="1:35" ht="15.75">
      <c r="A208" s="1"/>
      <c r="R208" s="2"/>
      <c r="S208" s="2"/>
      <c r="X208" s="3"/>
      <c r="Y208" s="3"/>
      <c r="Z208" s="3"/>
      <c r="AG208" s="2"/>
      <c r="AH208" s="2"/>
      <c r="AI208" s="2"/>
    </row>
    <row r="209" spans="1:35" ht="15.75">
      <c r="A209" s="1"/>
      <c r="R209" s="2"/>
      <c r="S209" s="2"/>
      <c r="X209" s="3"/>
      <c r="Y209" s="3"/>
      <c r="Z209" s="3"/>
      <c r="AG209" s="2"/>
      <c r="AH209" s="2"/>
      <c r="AI209" s="2"/>
    </row>
    <row r="210" spans="1:35" ht="15.75">
      <c r="A210" s="1"/>
      <c r="R210" s="2"/>
      <c r="S210" s="2"/>
      <c r="X210" s="3"/>
      <c r="Y210" s="3"/>
      <c r="Z210" s="3"/>
      <c r="AG210" s="2"/>
      <c r="AH210" s="2"/>
      <c r="AI210" s="2"/>
    </row>
    <row r="211" spans="1:35" ht="15.75">
      <c r="A211" s="1"/>
      <c r="R211" s="2"/>
      <c r="S211" s="2"/>
      <c r="X211" s="3"/>
      <c r="Y211" s="3"/>
      <c r="Z211" s="3"/>
      <c r="AG211" s="2"/>
      <c r="AH211" s="2"/>
      <c r="AI211" s="2"/>
    </row>
    <row r="212" spans="1:35" ht="15.75">
      <c r="A212" s="1"/>
      <c r="R212" s="2"/>
      <c r="S212" s="2"/>
      <c r="X212" s="3"/>
      <c r="Y212" s="3"/>
      <c r="Z212" s="3"/>
      <c r="AG212" s="2"/>
      <c r="AH212" s="2"/>
      <c r="AI212" s="2"/>
    </row>
    <row r="213" spans="1:35" ht="15.75">
      <c r="A213" s="1"/>
      <c r="R213" s="2"/>
      <c r="S213" s="2"/>
      <c r="X213" s="3"/>
      <c r="Y213" s="3"/>
      <c r="Z213" s="3"/>
      <c r="AG213" s="2"/>
      <c r="AH213" s="2"/>
      <c r="AI213" s="2"/>
    </row>
    <row r="214" spans="1:35" ht="15.75">
      <c r="A214" s="1"/>
      <c r="R214" s="2"/>
      <c r="S214" s="2"/>
      <c r="X214" s="3"/>
      <c r="Y214" s="3"/>
      <c r="Z214" s="3"/>
      <c r="AG214" s="2"/>
      <c r="AH214" s="2"/>
      <c r="AI214" s="2"/>
    </row>
    <row r="215" spans="1:35" ht="15.75">
      <c r="A215" s="1"/>
      <c r="R215" s="2"/>
      <c r="S215" s="2"/>
      <c r="X215" s="3"/>
      <c r="Y215" s="3"/>
      <c r="Z215" s="3"/>
      <c r="AG215" s="2"/>
      <c r="AH215" s="2"/>
      <c r="AI215" s="2"/>
    </row>
    <row r="216" spans="1:35" ht="15.75">
      <c r="A216" s="1"/>
      <c r="R216" s="2"/>
      <c r="S216" s="2"/>
      <c r="X216" s="3"/>
      <c r="Y216" s="3"/>
      <c r="Z216" s="3"/>
      <c r="AG216" s="2"/>
      <c r="AH216" s="2"/>
      <c r="AI216" s="2"/>
    </row>
    <row r="217" spans="1:35" ht="15.75">
      <c r="A217" s="1"/>
      <c r="R217" s="2"/>
      <c r="S217" s="2"/>
      <c r="X217" s="3"/>
      <c r="Y217" s="3"/>
      <c r="Z217" s="3"/>
      <c r="AG217" s="2"/>
      <c r="AH217" s="2"/>
      <c r="AI217" s="2"/>
    </row>
    <row r="218" spans="1:35" ht="15.75">
      <c r="A218" s="1"/>
      <c r="R218" s="2"/>
      <c r="S218" s="2"/>
      <c r="X218" s="3"/>
      <c r="Y218" s="3"/>
      <c r="Z218" s="3"/>
      <c r="AG218" s="2"/>
      <c r="AH218" s="2"/>
      <c r="AI218" s="2"/>
    </row>
    <row r="219" spans="1:35" ht="15.75">
      <c r="A219" s="1"/>
      <c r="R219" s="2"/>
      <c r="S219" s="2"/>
      <c r="X219" s="3"/>
      <c r="Y219" s="3"/>
      <c r="Z219" s="3"/>
      <c r="AG219" s="2"/>
      <c r="AH219" s="2"/>
      <c r="AI219" s="2"/>
    </row>
    <row r="220" spans="1:35" ht="15.75">
      <c r="A220" s="1"/>
      <c r="R220" s="2"/>
      <c r="S220" s="2"/>
      <c r="X220" s="3"/>
      <c r="Y220" s="3"/>
      <c r="Z220" s="3"/>
      <c r="AG220" s="2"/>
      <c r="AH220" s="2"/>
      <c r="AI220" s="2"/>
    </row>
    <row r="221" spans="1:35" ht="15.75">
      <c r="A221" s="1"/>
      <c r="R221" s="2"/>
      <c r="S221" s="2"/>
      <c r="X221" s="3"/>
      <c r="Y221" s="3"/>
      <c r="Z221" s="3"/>
      <c r="AG221" s="2"/>
      <c r="AH221" s="2"/>
      <c r="AI221" s="2"/>
    </row>
    <row r="222" spans="1:35" ht="15.75">
      <c r="A222" s="1"/>
      <c r="R222" s="2"/>
      <c r="S222" s="2"/>
      <c r="X222" s="3"/>
      <c r="Y222" s="3"/>
      <c r="Z222" s="3"/>
      <c r="AG222" s="2"/>
      <c r="AH222" s="2"/>
      <c r="AI222" s="2"/>
    </row>
    <row r="223" spans="1:35" ht="15.75">
      <c r="A223" s="1"/>
      <c r="R223" s="2"/>
      <c r="S223" s="2"/>
      <c r="X223" s="3"/>
      <c r="Y223" s="3"/>
      <c r="Z223" s="3"/>
      <c r="AG223" s="2"/>
      <c r="AH223" s="2"/>
      <c r="AI223" s="2"/>
    </row>
    <row r="224" spans="1:35" ht="15.75">
      <c r="A224" s="1"/>
      <c r="R224" s="2"/>
      <c r="S224" s="2"/>
      <c r="X224" s="3"/>
      <c r="Y224" s="3"/>
      <c r="Z224" s="3"/>
      <c r="AG224" s="2"/>
      <c r="AH224" s="2"/>
      <c r="AI224" s="2"/>
    </row>
    <row r="225" spans="1:35" ht="15.75">
      <c r="A225" s="1"/>
      <c r="R225" s="2"/>
      <c r="S225" s="2"/>
      <c r="X225" s="3"/>
      <c r="Y225" s="3"/>
      <c r="Z225" s="3"/>
      <c r="AG225" s="2"/>
      <c r="AH225" s="2"/>
      <c r="AI225" s="2"/>
    </row>
    <row r="226" spans="1:35" ht="15.75">
      <c r="A226" s="1"/>
      <c r="R226" s="2"/>
      <c r="S226" s="2"/>
      <c r="X226" s="3"/>
      <c r="Y226" s="3"/>
      <c r="Z226" s="3"/>
      <c r="AG226" s="2"/>
      <c r="AH226" s="2"/>
      <c r="AI226" s="2"/>
    </row>
    <row r="227" spans="1:35" ht="15.75">
      <c r="A227" s="1"/>
      <c r="R227" s="2"/>
      <c r="S227" s="2"/>
      <c r="X227" s="3"/>
      <c r="Y227" s="3"/>
      <c r="Z227" s="3"/>
      <c r="AG227" s="2"/>
      <c r="AH227" s="2"/>
      <c r="AI227" s="2"/>
    </row>
    <row r="228" spans="1:35" ht="15.75">
      <c r="A228" s="1"/>
      <c r="R228" s="2"/>
      <c r="S228" s="2"/>
      <c r="X228" s="3"/>
      <c r="Y228" s="3"/>
      <c r="Z228" s="3"/>
      <c r="AG228" s="2"/>
      <c r="AH228" s="2"/>
      <c r="AI228" s="2"/>
    </row>
    <row r="229" spans="1:35" ht="15.75">
      <c r="A229" s="1"/>
      <c r="R229" s="2"/>
      <c r="S229" s="2"/>
      <c r="X229" s="3"/>
      <c r="Y229" s="3"/>
      <c r="Z229" s="3"/>
      <c r="AG229" s="2"/>
      <c r="AH229" s="2"/>
      <c r="AI229" s="2"/>
    </row>
    <row r="230" spans="1:35" ht="15.75">
      <c r="A230" s="1"/>
      <c r="R230" s="2"/>
      <c r="S230" s="2"/>
      <c r="X230" s="3"/>
      <c r="Y230" s="3"/>
      <c r="Z230" s="3"/>
      <c r="AG230" s="2"/>
      <c r="AH230" s="2"/>
      <c r="AI230" s="2"/>
    </row>
    <row r="231" spans="1:35" ht="15.75">
      <c r="A231" s="1"/>
      <c r="R231" s="2"/>
      <c r="S231" s="2"/>
      <c r="X231" s="3"/>
      <c r="Y231" s="3"/>
      <c r="Z231" s="3"/>
      <c r="AG231" s="2"/>
      <c r="AH231" s="2"/>
      <c r="AI231" s="2"/>
    </row>
    <row r="232" spans="1:35" ht="15.75">
      <c r="A232" s="1"/>
      <c r="R232" s="2"/>
      <c r="S232" s="2"/>
      <c r="X232" s="3"/>
      <c r="Y232" s="3"/>
      <c r="Z232" s="3"/>
      <c r="AG232" s="2"/>
      <c r="AH232" s="2"/>
      <c r="AI232" s="2"/>
    </row>
    <row r="233" spans="1:35" ht="15.75">
      <c r="A233" s="1"/>
      <c r="R233" s="2"/>
      <c r="S233" s="2"/>
      <c r="X233" s="3"/>
      <c r="Y233" s="3"/>
      <c r="Z233" s="3"/>
      <c r="AG233" s="2"/>
      <c r="AH233" s="2"/>
      <c r="AI233" s="2"/>
    </row>
    <row r="234" spans="1:35" ht="15.75">
      <c r="A234" s="1"/>
      <c r="R234" s="2"/>
      <c r="S234" s="2"/>
      <c r="X234" s="3"/>
      <c r="Y234" s="3"/>
      <c r="Z234" s="3"/>
      <c r="AG234" s="2"/>
      <c r="AH234" s="2"/>
      <c r="AI234" s="2"/>
    </row>
    <row r="235" spans="1:35" ht="15.75">
      <c r="A235" s="1"/>
      <c r="R235" s="2"/>
      <c r="S235" s="2"/>
      <c r="X235" s="3"/>
      <c r="Y235" s="3"/>
      <c r="Z235" s="3"/>
      <c r="AG235" s="2"/>
      <c r="AH235" s="2"/>
      <c r="AI235" s="2"/>
    </row>
    <row r="236" spans="1:35" ht="15.75">
      <c r="A236" s="1"/>
      <c r="R236" s="2"/>
      <c r="S236" s="2"/>
      <c r="X236" s="3"/>
      <c r="Y236" s="3"/>
      <c r="Z236" s="3"/>
      <c r="AG236" s="2"/>
      <c r="AH236" s="2"/>
      <c r="AI236" s="2"/>
    </row>
    <row r="237" spans="1:35" ht="15.75">
      <c r="A237" s="1"/>
      <c r="R237" s="2"/>
      <c r="S237" s="2"/>
      <c r="X237" s="3"/>
      <c r="Y237" s="3"/>
      <c r="Z237" s="3"/>
      <c r="AG237" s="2"/>
      <c r="AH237" s="2"/>
      <c r="AI237" s="2"/>
    </row>
    <row r="238" spans="1:35" ht="15.75">
      <c r="A238" s="1"/>
      <c r="R238" s="2"/>
      <c r="S238" s="2"/>
      <c r="X238" s="3"/>
      <c r="Y238" s="3"/>
      <c r="Z238" s="3"/>
      <c r="AG238" s="2"/>
      <c r="AH238" s="2"/>
      <c r="AI238" s="2"/>
    </row>
    <row r="239" spans="1:35" ht="15.75">
      <c r="A239" s="1"/>
      <c r="R239" s="2"/>
      <c r="S239" s="2"/>
      <c r="X239" s="3"/>
      <c r="Y239" s="3"/>
      <c r="Z239" s="3"/>
      <c r="AG239" s="2"/>
      <c r="AH239" s="2"/>
      <c r="AI239" s="2"/>
    </row>
    <row r="240" spans="1:35" ht="15.75">
      <c r="A240" s="1"/>
      <c r="R240" s="2"/>
      <c r="S240" s="2"/>
      <c r="X240" s="3"/>
      <c r="Y240" s="3"/>
      <c r="Z240" s="3"/>
      <c r="AG240" s="2"/>
      <c r="AH240" s="2"/>
      <c r="AI240" s="2"/>
    </row>
    <row r="241" spans="1:35" ht="15.75">
      <c r="A241" s="1"/>
      <c r="R241" s="2"/>
      <c r="S241" s="2"/>
      <c r="X241" s="3"/>
      <c r="Y241" s="3"/>
      <c r="Z241" s="3"/>
      <c r="AG241" s="2"/>
      <c r="AH241" s="2"/>
      <c r="AI241" s="2"/>
    </row>
    <row r="242" spans="1:35" ht="15.75">
      <c r="A242" s="1"/>
      <c r="R242" s="2"/>
      <c r="S242" s="2"/>
      <c r="X242" s="3"/>
      <c r="Y242" s="3"/>
      <c r="Z242" s="3"/>
      <c r="AG242" s="2"/>
      <c r="AH242" s="2"/>
      <c r="AI242" s="2"/>
    </row>
    <row r="243" spans="1:35" ht="15.75">
      <c r="A243" s="1"/>
      <c r="R243" s="2"/>
      <c r="S243" s="2"/>
      <c r="X243" s="3"/>
      <c r="Y243" s="3"/>
      <c r="Z243" s="3"/>
      <c r="AG243" s="2"/>
      <c r="AH243" s="2"/>
      <c r="AI243" s="2"/>
    </row>
    <row r="244" spans="1:35" ht="15.75">
      <c r="A244" s="1"/>
      <c r="R244" s="2"/>
      <c r="S244" s="2"/>
      <c r="X244" s="3"/>
      <c r="Y244" s="3"/>
      <c r="Z244" s="3"/>
      <c r="AG244" s="2"/>
      <c r="AH244" s="2"/>
      <c r="AI244" s="2"/>
    </row>
    <row r="245" spans="1:35" ht="15.75">
      <c r="A245" s="1"/>
      <c r="R245" s="2"/>
      <c r="S245" s="2"/>
      <c r="X245" s="3"/>
      <c r="Y245" s="3"/>
      <c r="Z245" s="3"/>
      <c r="AG245" s="2"/>
      <c r="AH245" s="2"/>
      <c r="AI245" s="2"/>
    </row>
    <row r="246" spans="1:35" ht="15.75">
      <c r="A246" s="1"/>
      <c r="R246" s="2"/>
      <c r="S246" s="2"/>
      <c r="X246" s="3"/>
      <c r="Y246" s="3"/>
      <c r="Z246" s="3"/>
      <c r="AG246" s="2"/>
      <c r="AH246" s="2"/>
      <c r="AI246" s="2"/>
    </row>
    <row r="247" spans="1:35" ht="15.75">
      <c r="A247" s="1"/>
      <c r="R247" s="2"/>
      <c r="S247" s="2"/>
      <c r="X247" s="3"/>
      <c r="Y247" s="3"/>
      <c r="Z247" s="3"/>
      <c r="AG247" s="2"/>
      <c r="AH247" s="2"/>
      <c r="AI247" s="2"/>
    </row>
    <row r="248" spans="1:35" ht="15.75">
      <c r="A248" s="1"/>
      <c r="R248" s="2"/>
      <c r="S248" s="2"/>
      <c r="X248" s="3"/>
      <c r="Y248" s="3"/>
      <c r="Z248" s="3"/>
      <c r="AG248" s="2"/>
      <c r="AH248" s="2"/>
      <c r="AI248" s="2"/>
    </row>
    <row r="249" spans="1:35" ht="15.75">
      <c r="A249" s="1"/>
      <c r="R249" s="2"/>
      <c r="S249" s="2"/>
      <c r="X249" s="3"/>
      <c r="Y249" s="3"/>
      <c r="Z249" s="3"/>
      <c r="AG249" s="2"/>
      <c r="AH249" s="2"/>
      <c r="AI249" s="2"/>
    </row>
    <row r="250" spans="1:35" ht="15.75">
      <c r="A250" s="1"/>
      <c r="R250" s="2"/>
      <c r="S250" s="2"/>
      <c r="X250" s="3"/>
      <c r="Y250" s="3"/>
      <c r="Z250" s="3"/>
      <c r="AG250" s="2"/>
      <c r="AH250" s="2"/>
      <c r="AI250" s="2"/>
    </row>
    <row r="251" spans="1:35" ht="15.75">
      <c r="A251" s="1"/>
      <c r="R251" s="2"/>
      <c r="S251" s="2"/>
      <c r="X251" s="3"/>
      <c r="Y251" s="3"/>
      <c r="Z251" s="3"/>
      <c r="AG251" s="2"/>
      <c r="AH251" s="2"/>
      <c r="AI251" s="2"/>
    </row>
    <row r="252" spans="1:35" ht="15.75">
      <c r="A252" s="1"/>
      <c r="R252" s="2"/>
      <c r="S252" s="2"/>
      <c r="X252" s="3"/>
      <c r="Y252" s="3"/>
      <c r="Z252" s="3"/>
      <c r="AG252" s="2"/>
      <c r="AH252" s="2"/>
      <c r="AI252" s="2"/>
    </row>
    <row r="253" spans="1:35" ht="15.75">
      <c r="A253" s="1"/>
      <c r="R253" s="2"/>
      <c r="S253" s="2"/>
      <c r="X253" s="3"/>
      <c r="Y253" s="3"/>
      <c r="Z253" s="3"/>
      <c r="AG253" s="2"/>
      <c r="AH253" s="2"/>
      <c r="AI253" s="2"/>
    </row>
    <row r="254" spans="1:35" ht="15.75">
      <c r="A254" s="1"/>
      <c r="R254" s="2"/>
      <c r="S254" s="2"/>
      <c r="X254" s="3"/>
      <c r="Y254" s="3"/>
      <c r="Z254" s="3"/>
      <c r="AG254" s="2"/>
      <c r="AH254" s="2"/>
      <c r="AI254" s="2"/>
    </row>
    <row r="255" spans="1:35" ht="15.75">
      <c r="A255" s="1"/>
      <c r="R255" s="2"/>
      <c r="S255" s="2"/>
      <c r="X255" s="3"/>
      <c r="Y255" s="3"/>
      <c r="Z255" s="3"/>
      <c r="AG255" s="2"/>
      <c r="AH255" s="2"/>
      <c r="AI255" s="2"/>
    </row>
    <row r="256" spans="1:35" ht="15.75">
      <c r="A256" s="1"/>
      <c r="R256" s="2"/>
      <c r="S256" s="2"/>
      <c r="X256" s="3"/>
      <c r="Y256" s="3"/>
      <c r="Z256" s="3"/>
      <c r="AG256" s="2"/>
      <c r="AH256" s="2"/>
      <c r="AI256" s="2"/>
    </row>
    <row r="257" spans="1:35" ht="15.75">
      <c r="A257" s="1"/>
      <c r="R257" s="2"/>
      <c r="S257" s="2"/>
      <c r="X257" s="3"/>
      <c r="Y257" s="3"/>
      <c r="Z257" s="3"/>
      <c r="AG257" s="2"/>
      <c r="AH257" s="2"/>
      <c r="AI257" s="2"/>
    </row>
    <row r="258" spans="1:35" ht="15.75">
      <c r="A258" s="1"/>
      <c r="R258" s="2"/>
      <c r="S258" s="2"/>
      <c r="X258" s="3"/>
      <c r="Y258" s="3"/>
      <c r="Z258" s="3"/>
      <c r="AG258" s="2"/>
      <c r="AH258" s="2"/>
      <c r="AI258" s="2"/>
    </row>
    <row r="259" spans="1:35" ht="15.75">
      <c r="A259" s="1"/>
      <c r="R259" s="2"/>
      <c r="S259" s="2"/>
      <c r="X259" s="3"/>
      <c r="Y259" s="3"/>
      <c r="Z259" s="3"/>
      <c r="AG259" s="2"/>
      <c r="AH259" s="2"/>
      <c r="AI259" s="2"/>
    </row>
    <row r="260" spans="1:35" ht="15.75">
      <c r="A260" s="1"/>
      <c r="R260" s="2"/>
      <c r="S260" s="2"/>
      <c r="X260" s="3"/>
      <c r="Y260" s="3"/>
      <c r="Z260" s="3"/>
      <c r="AG260" s="2"/>
      <c r="AH260" s="2"/>
      <c r="AI260" s="2"/>
    </row>
    <row r="261" spans="1:35" ht="15.75">
      <c r="A261" s="1"/>
      <c r="R261" s="2"/>
      <c r="S261" s="2"/>
      <c r="X261" s="3"/>
      <c r="Y261" s="3"/>
      <c r="Z261" s="3"/>
      <c r="AG261" s="2"/>
      <c r="AH261" s="2"/>
      <c r="AI261" s="2"/>
    </row>
    <row r="262" spans="1:35" ht="15.75">
      <c r="A262" s="1"/>
      <c r="R262" s="2"/>
      <c r="S262" s="2"/>
      <c r="X262" s="3"/>
      <c r="Y262" s="3"/>
      <c r="Z262" s="3"/>
      <c r="AG262" s="2"/>
      <c r="AH262" s="2"/>
      <c r="AI262" s="2"/>
    </row>
    <row r="263" spans="1:35" ht="15.75">
      <c r="A263" s="1"/>
      <c r="R263" s="2"/>
      <c r="S263" s="2"/>
      <c r="X263" s="3"/>
      <c r="Y263" s="3"/>
      <c r="Z263" s="3"/>
      <c r="AG263" s="2"/>
      <c r="AH263" s="2"/>
      <c r="AI263" s="2"/>
    </row>
    <row r="264" spans="1:35" ht="15.75">
      <c r="A264" s="1"/>
      <c r="R264" s="2"/>
      <c r="S264" s="2"/>
      <c r="X264" s="3"/>
      <c r="Y264" s="3"/>
      <c r="Z264" s="3"/>
      <c r="AG264" s="2"/>
      <c r="AH264" s="2"/>
      <c r="AI264" s="2"/>
    </row>
    <row r="265" spans="1:35" ht="15.75">
      <c r="A265" s="1"/>
      <c r="R265" s="2"/>
      <c r="S265" s="2"/>
      <c r="X265" s="3"/>
      <c r="Y265" s="3"/>
      <c r="Z265" s="3"/>
      <c r="AG265" s="2"/>
      <c r="AH265" s="2"/>
      <c r="AI265" s="2"/>
    </row>
    <row r="266" spans="1:35" ht="15.75">
      <c r="A266" s="1"/>
      <c r="R266" s="2"/>
      <c r="S266" s="2"/>
      <c r="X266" s="3"/>
      <c r="Y266" s="3"/>
      <c r="Z266" s="3"/>
      <c r="AG266" s="2"/>
      <c r="AH266" s="2"/>
      <c r="AI266" s="2"/>
    </row>
    <row r="267" spans="1:35" ht="15.75">
      <c r="A267" s="1"/>
      <c r="R267" s="2"/>
      <c r="S267" s="2"/>
      <c r="X267" s="3"/>
      <c r="Y267" s="3"/>
      <c r="Z267" s="3"/>
      <c r="AG267" s="2"/>
      <c r="AH267" s="2"/>
      <c r="AI267" s="2"/>
    </row>
    <row r="268" spans="1:35" ht="15.75">
      <c r="A268" s="1"/>
      <c r="R268" s="2"/>
      <c r="S268" s="2"/>
      <c r="X268" s="3"/>
      <c r="Y268" s="3"/>
      <c r="Z268" s="3"/>
      <c r="AG268" s="2"/>
      <c r="AH268" s="2"/>
      <c r="AI268" s="2"/>
    </row>
    <row r="269" spans="1:35" ht="15.75">
      <c r="A269" s="1"/>
      <c r="R269" s="2"/>
      <c r="S269" s="2"/>
      <c r="X269" s="3"/>
      <c r="Y269" s="3"/>
      <c r="Z269" s="3"/>
      <c r="AG269" s="2"/>
      <c r="AH269" s="2"/>
      <c r="AI269" s="2"/>
    </row>
    <row r="270" spans="1:35" ht="15.75">
      <c r="A270" s="1"/>
      <c r="R270" s="2"/>
      <c r="S270" s="2"/>
      <c r="X270" s="3"/>
      <c r="Y270" s="3"/>
      <c r="Z270" s="3"/>
      <c r="AG270" s="2"/>
      <c r="AH270" s="2"/>
      <c r="AI270" s="2"/>
    </row>
    <row r="271" spans="1:35" ht="15.75">
      <c r="A271" s="1"/>
      <c r="R271" s="2"/>
      <c r="S271" s="2"/>
      <c r="X271" s="3"/>
      <c r="Y271" s="3"/>
      <c r="Z271" s="3"/>
      <c r="AG271" s="2"/>
      <c r="AH271" s="2"/>
      <c r="AI271" s="2"/>
    </row>
    <row r="272" spans="1:35" ht="15.75">
      <c r="A272" s="1"/>
      <c r="R272" s="2"/>
      <c r="S272" s="2"/>
      <c r="X272" s="3"/>
      <c r="Y272" s="3"/>
      <c r="Z272" s="3"/>
      <c r="AG272" s="2"/>
      <c r="AH272" s="2"/>
      <c r="AI272" s="2"/>
    </row>
    <row r="273" spans="1:35" ht="15.75">
      <c r="A273" s="1"/>
      <c r="R273" s="2"/>
      <c r="S273" s="2"/>
      <c r="X273" s="3"/>
      <c r="Y273" s="3"/>
      <c r="Z273" s="3"/>
      <c r="AG273" s="2"/>
      <c r="AH273" s="2"/>
      <c r="AI273" s="2"/>
    </row>
    <row r="274" spans="1:35" ht="15.75">
      <c r="A274" s="1"/>
      <c r="R274" s="2"/>
      <c r="S274" s="2"/>
      <c r="X274" s="3"/>
      <c r="Y274" s="3"/>
      <c r="Z274" s="3"/>
      <c r="AG274" s="2"/>
      <c r="AH274" s="2"/>
      <c r="AI274" s="2"/>
    </row>
    <row r="275" spans="1:35" ht="15.75">
      <c r="A275" s="1"/>
      <c r="R275" s="2"/>
      <c r="S275" s="2"/>
      <c r="X275" s="3"/>
      <c r="Y275" s="3"/>
      <c r="Z275" s="3"/>
      <c r="AG275" s="2"/>
      <c r="AH275" s="2"/>
      <c r="AI275" s="2"/>
    </row>
    <row r="276" spans="1:35" ht="15.75">
      <c r="A276" s="1"/>
      <c r="R276" s="2"/>
      <c r="S276" s="2"/>
      <c r="X276" s="3"/>
      <c r="Y276" s="3"/>
      <c r="Z276" s="3"/>
      <c r="AG276" s="2"/>
      <c r="AH276" s="2"/>
      <c r="AI276" s="2"/>
    </row>
    <row r="277" spans="1:35" ht="15.75">
      <c r="A277" s="1"/>
      <c r="R277" s="2"/>
      <c r="S277" s="2"/>
      <c r="X277" s="3"/>
      <c r="Y277" s="3"/>
      <c r="Z277" s="3"/>
      <c r="AG277" s="2"/>
      <c r="AH277" s="2"/>
      <c r="AI277" s="2"/>
    </row>
    <row r="278" spans="1:35" ht="15.75">
      <c r="A278" s="1"/>
      <c r="R278" s="2"/>
      <c r="S278" s="2"/>
      <c r="X278" s="3"/>
      <c r="Y278" s="3"/>
      <c r="Z278" s="3"/>
      <c r="AG278" s="2"/>
      <c r="AH278" s="2"/>
      <c r="AI278" s="2"/>
    </row>
    <row r="279" spans="1:35" ht="15.75">
      <c r="A279" s="1"/>
      <c r="R279" s="2"/>
      <c r="S279" s="2"/>
      <c r="X279" s="3"/>
      <c r="Y279" s="3"/>
      <c r="Z279" s="3"/>
      <c r="AG279" s="2"/>
      <c r="AH279" s="2"/>
      <c r="AI279" s="2"/>
    </row>
    <row r="280" spans="1:35" ht="15.75">
      <c r="A280" s="1"/>
      <c r="R280" s="2"/>
      <c r="S280" s="2"/>
      <c r="X280" s="3"/>
      <c r="Y280" s="3"/>
      <c r="Z280" s="3"/>
      <c r="AG280" s="2"/>
      <c r="AH280" s="2"/>
      <c r="AI280" s="2"/>
    </row>
    <row r="281" spans="1:35" ht="15.75">
      <c r="A281" s="1"/>
      <c r="R281" s="2"/>
      <c r="S281" s="2"/>
      <c r="X281" s="3"/>
      <c r="Y281" s="3"/>
      <c r="Z281" s="3"/>
      <c r="AG281" s="2"/>
      <c r="AH281" s="2"/>
      <c r="AI281" s="2"/>
    </row>
    <row r="282" spans="1:35" ht="15.75">
      <c r="A282" s="1"/>
      <c r="R282" s="2"/>
      <c r="S282" s="2"/>
      <c r="X282" s="3"/>
      <c r="Y282" s="3"/>
      <c r="Z282" s="3"/>
      <c r="AG282" s="2"/>
      <c r="AH282" s="2"/>
      <c r="AI282" s="2"/>
    </row>
    <row r="283" spans="1:35" ht="15.75">
      <c r="A283" s="1"/>
      <c r="R283" s="2"/>
      <c r="S283" s="2"/>
      <c r="X283" s="3"/>
      <c r="Y283" s="3"/>
      <c r="Z283" s="3"/>
      <c r="AG283" s="2"/>
      <c r="AH283" s="2"/>
      <c r="AI283" s="2"/>
    </row>
    <row r="284" spans="1:35" ht="15.75">
      <c r="A284" s="1"/>
      <c r="R284" s="2"/>
      <c r="S284" s="2"/>
      <c r="X284" s="3"/>
      <c r="Y284" s="3"/>
      <c r="Z284" s="3"/>
      <c r="AG284" s="2"/>
      <c r="AH284" s="2"/>
      <c r="AI284" s="2"/>
    </row>
    <row r="285" spans="1:35" ht="15.75">
      <c r="A285" s="1"/>
      <c r="R285" s="2"/>
      <c r="S285" s="2"/>
      <c r="X285" s="3"/>
      <c r="Y285" s="3"/>
      <c r="Z285" s="3"/>
      <c r="AG285" s="2"/>
      <c r="AH285" s="2"/>
      <c r="AI285" s="2"/>
    </row>
    <row r="286" spans="1:35" ht="15.75">
      <c r="A286" s="1"/>
      <c r="R286" s="2"/>
      <c r="S286" s="2"/>
      <c r="X286" s="3"/>
      <c r="Y286" s="3"/>
      <c r="Z286" s="3"/>
      <c r="AG286" s="2"/>
      <c r="AH286" s="2"/>
      <c r="AI286" s="2"/>
    </row>
    <row r="287" spans="1:35" ht="15.75">
      <c r="A287" s="1"/>
      <c r="R287" s="2"/>
      <c r="S287" s="2"/>
      <c r="X287" s="3"/>
      <c r="Y287" s="3"/>
      <c r="Z287" s="3"/>
      <c r="AG287" s="2"/>
      <c r="AH287" s="2"/>
      <c r="AI287" s="2"/>
    </row>
    <row r="288" spans="1:35" ht="15.75">
      <c r="A288" s="1"/>
      <c r="R288" s="2"/>
      <c r="S288" s="2"/>
      <c r="X288" s="3"/>
      <c r="Y288" s="3"/>
      <c r="Z288" s="3"/>
      <c r="AG288" s="2"/>
      <c r="AH288" s="2"/>
      <c r="AI288" s="2"/>
    </row>
    <row r="289" spans="1:35" ht="15.75">
      <c r="A289" s="1"/>
      <c r="R289" s="2"/>
      <c r="S289" s="2"/>
      <c r="X289" s="3"/>
      <c r="Y289" s="3"/>
      <c r="Z289" s="3"/>
      <c r="AG289" s="2"/>
      <c r="AH289" s="2"/>
      <c r="AI289" s="2"/>
    </row>
    <row r="290" spans="1:35" ht="15.75">
      <c r="A290" s="1"/>
      <c r="R290" s="2"/>
      <c r="S290" s="2"/>
      <c r="X290" s="3"/>
      <c r="Y290" s="3"/>
      <c r="Z290" s="3"/>
      <c r="AG290" s="2"/>
      <c r="AH290" s="2"/>
      <c r="AI290" s="2"/>
    </row>
    <row r="291" spans="1:35" ht="15.75">
      <c r="A291" s="1"/>
      <c r="R291" s="2"/>
      <c r="S291" s="2"/>
      <c r="X291" s="3"/>
      <c r="Y291" s="3"/>
      <c r="Z291" s="3"/>
      <c r="AG291" s="2"/>
      <c r="AH291" s="2"/>
      <c r="AI291" s="2"/>
    </row>
    <row r="292" spans="1:35" ht="15.75">
      <c r="A292" s="1"/>
      <c r="R292" s="2"/>
      <c r="S292" s="2"/>
      <c r="X292" s="3"/>
      <c r="Y292" s="3"/>
      <c r="Z292" s="3"/>
      <c r="AG292" s="2"/>
      <c r="AH292" s="2"/>
      <c r="AI292" s="2"/>
    </row>
    <row r="293" spans="1:35" ht="15.75">
      <c r="A293" s="1"/>
      <c r="R293" s="2"/>
      <c r="S293" s="2"/>
      <c r="X293" s="3"/>
      <c r="Y293" s="3"/>
      <c r="Z293" s="3"/>
      <c r="AG293" s="2"/>
      <c r="AH293" s="2"/>
      <c r="AI293" s="2"/>
    </row>
    <row r="294" spans="1:35" ht="15.75">
      <c r="A294" s="1"/>
      <c r="R294" s="2"/>
      <c r="S294" s="2"/>
      <c r="X294" s="3"/>
      <c r="Y294" s="3"/>
      <c r="Z294" s="3"/>
      <c r="AG294" s="2"/>
      <c r="AH294" s="2"/>
      <c r="AI294" s="2"/>
    </row>
    <row r="295" spans="1:35" ht="15.75">
      <c r="A295" s="1"/>
      <c r="R295" s="2"/>
      <c r="S295" s="2"/>
      <c r="X295" s="3"/>
      <c r="Y295" s="3"/>
      <c r="Z295" s="3"/>
      <c r="AG295" s="2"/>
      <c r="AH295" s="2"/>
      <c r="AI295" s="2"/>
    </row>
    <row r="296" spans="1:35" ht="15.75">
      <c r="A296" s="1"/>
      <c r="R296" s="2"/>
      <c r="S296" s="2"/>
      <c r="X296" s="3"/>
      <c r="Y296" s="3"/>
      <c r="Z296" s="3"/>
      <c r="AG296" s="2"/>
      <c r="AH296" s="2"/>
      <c r="AI296" s="2"/>
    </row>
    <row r="297" spans="1:35" ht="15.75">
      <c r="A297" s="1"/>
      <c r="R297" s="2"/>
      <c r="S297" s="2"/>
      <c r="X297" s="3"/>
      <c r="Y297" s="3"/>
      <c r="Z297" s="3"/>
      <c r="AG297" s="2"/>
      <c r="AH297" s="2"/>
      <c r="AI297" s="2"/>
    </row>
    <row r="298" spans="1:35" ht="15.75">
      <c r="A298" s="1"/>
      <c r="R298" s="2"/>
      <c r="S298" s="2"/>
      <c r="X298" s="3"/>
      <c r="Y298" s="3"/>
      <c r="Z298" s="3"/>
      <c r="AG298" s="2"/>
      <c r="AH298" s="2"/>
      <c r="AI298" s="2"/>
    </row>
    <row r="299" spans="1:35" ht="15.75">
      <c r="A299" s="1"/>
      <c r="R299" s="2"/>
      <c r="S299" s="2"/>
      <c r="X299" s="3"/>
      <c r="Y299" s="3"/>
      <c r="Z299" s="3"/>
      <c r="AG299" s="2"/>
      <c r="AH299" s="2"/>
      <c r="AI299" s="2"/>
    </row>
    <row r="300" spans="1:35" ht="15.75">
      <c r="A300" s="1"/>
      <c r="R300" s="2"/>
      <c r="S300" s="2"/>
      <c r="X300" s="3"/>
      <c r="Y300" s="3"/>
      <c r="Z300" s="3"/>
      <c r="AG300" s="2"/>
      <c r="AH300" s="2"/>
      <c r="AI300" s="2"/>
    </row>
    <row r="301" spans="1:35" ht="15.75">
      <c r="A301" s="1"/>
      <c r="R301" s="2"/>
      <c r="S301" s="2"/>
      <c r="X301" s="3"/>
      <c r="Y301" s="3"/>
      <c r="Z301" s="3"/>
      <c r="AG301" s="2"/>
      <c r="AH301" s="2"/>
      <c r="AI301" s="2"/>
    </row>
    <row r="302" spans="1:35" ht="15.75">
      <c r="A302" s="1"/>
      <c r="R302" s="2"/>
      <c r="S302" s="2"/>
      <c r="X302" s="3"/>
      <c r="Y302" s="3"/>
      <c r="Z302" s="3"/>
      <c r="AG302" s="2"/>
      <c r="AH302" s="2"/>
      <c r="AI302" s="2"/>
    </row>
    <row r="303" spans="1:35" ht="15.75">
      <c r="A303" s="1"/>
      <c r="R303" s="2"/>
      <c r="S303" s="2"/>
      <c r="X303" s="3"/>
      <c r="Y303" s="3"/>
      <c r="Z303" s="3"/>
      <c r="AG303" s="2"/>
      <c r="AH303" s="2"/>
      <c r="AI303" s="2"/>
    </row>
    <row r="304" spans="1:35" ht="15.75">
      <c r="A304" s="1"/>
      <c r="R304" s="2"/>
      <c r="S304" s="2"/>
      <c r="X304" s="3"/>
      <c r="Y304" s="3"/>
      <c r="Z304" s="3"/>
      <c r="AG304" s="2"/>
      <c r="AH304" s="2"/>
      <c r="AI304" s="2"/>
    </row>
    <row r="305" spans="1:35" ht="15.75">
      <c r="A305" s="1"/>
      <c r="R305" s="2"/>
      <c r="S305" s="2"/>
      <c r="X305" s="3"/>
      <c r="Y305" s="3"/>
      <c r="Z305" s="3"/>
      <c r="AG305" s="2"/>
      <c r="AH305" s="2"/>
      <c r="AI305" s="2"/>
    </row>
    <row r="306" spans="1:35" ht="15.75">
      <c r="A306" s="1"/>
      <c r="R306" s="2"/>
      <c r="S306" s="2"/>
      <c r="X306" s="3"/>
      <c r="Y306" s="3"/>
      <c r="Z306" s="3"/>
      <c r="AG306" s="2"/>
      <c r="AH306" s="2"/>
      <c r="AI306" s="2"/>
    </row>
    <row r="307" spans="1:35" ht="15.75">
      <c r="A307" s="1"/>
      <c r="R307" s="2"/>
      <c r="S307" s="2"/>
      <c r="X307" s="3"/>
      <c r="Y307" s="3"/>
      <c r="Z307" s="3"/>
      <c r="AG307" s="2"/>
      <c r="AH307" s="2"/>
      <c r="AI307" s="2"/>
    </row>
    <row r="308" spans="1:35" ht="15.75">
      <c r="A308" s="1"/>
      <c r="R308" s="2"/>
      <c r="S308" s="2"/>
      <c r="X308" s="3"/>
      <c r="Y308" s="3"/>
      <c r="Z308" s="3"/>
      <c r="AG308" s="2"/>
      <c r="AH308" s="2"/>
      <c r="AI308" s="2"/>
    </row>
    <row r="309" spans="1:35" ht="15.75">
      <c r="A309" s="1"/>
      <c r="R309" s="2"/>
      <c r="S309" s="2"/>
      <c r="X309" s="3"/>
      <c r="Y309" s="3"/>
      <c r="Z309" s="3"/>
      <c r="AG309" s="2"/>
      <c r="AH309" s="2"/>
      <c r="AI309" s="2"/>
    </row>
    <row r="310" spans="1:35" ht="15.75">
      <c r="A310" s="1"/>
      <c r="R310" s="2"/>
      <c r="S310" s="2"/>
      <c r="X310" s="3"/>
      <c r="Y310" s="3"/>
      <c r="Z310" s="3"/>
      <c r="AG310" s="2"/>
      <c r="AH310" s="2"/>
      <c r="AI310" s="2"/>
    </row>
    <row r="311" spans="1:35" ht="15.75">
      <c r="A311" s="1"/>
      <c r="R311" s="2"/>
      <c r="S311" s="2"/>
      <c r="X311" s="3"/>
      <c r="Y311" s="3"/>
      <c r="Z311" s="3"/>
      <c r="AG311" s="2"/>
      <c r="AH311" s="2"/>
      <c r="AI311" s="2"/>
    </row>
    <row r="312" spans="1:35" ht="15.75">
      <c r="A312" s="1"/>
      <c r="R312" s="2"/>
      <c r="S312" s="2"/>
      <c r="X312" s="3"/>
      <c r="Y312" s="3"/>
      <c r="Z312" s="3"/>
      <c r="AG312" s="2"/>
      <c r="AH312" s="2"/>
      <c r="AI312" s="2"/>
    </row>
    <row r="313" spans="1:35" ht="15.75">
      <c r="A313" s="1"/>
      <c r="R313" s="2"/>
      <c r="S313" s="2"/>
      <c r="X313" s="3"/>
      <c r="Y313" s="3"/>
      <c r="Z313" s="3"/>
      <c r="AG313" s="2"/>
      <c r="AH313" s="2"/>
      <c r="AI313" s="2"/>
    </row>
    <row r="314" spans="1:35" ht="15.75">
      <c r="A314" s="1"/>
      <c r="R314" s="2"/>
      <c r="S314" s="2"/>
      <c r="X314" s="3"/>
      <c r="Y314" s="3"/>
      <c r="Z314" s="3"/>
      <c r="AG314" s="2"/>
      <c r="AH314" s="2"/>
      <c r="AI314" s="2"/>
    </row>
    <row r="315" spans="1:35" ht="15.75">
      <c r="A315" s="1"/>
      <c r="R315" s="2"/>
      <c r="S315" s="2"/>
      <c r="X315" s="3"/>
      <c r="Y315" s="3"/>
      <c r="Z315" s="3"/>
      <c r="AG315" s="2"/>
      <c r="AH315" s="2"/>
      <c r="AI315" s="2"/>
    </row>
    <row r="316" spans="1:35" ht="15.75">
      <c r="A316" s="1"/>
      <c r="R316" s="2"/>
      <c r="S316" s="2"/>
      <c r="X316" s="3"/>
      <c r="Y316" s="3"/>
      <c r="Z316" s="3"/>
      <c r="AG316" s="2"/>
      <c r="AH316" s="2"/>
      <c r="AI316" s="2"/>
    </row>
    <row r="317" spans="1:35" ht="15.75">
      <c r="A317" s="1"/>
      <c r="R317" s="2"/>
      <c r="S317" s="2"/>
      <c r="X317" s="3"/>
      <c r="Y317" s="3"/>
      <c r="Z317" s="3"/>
      <c r="AG317" s="2"/>
      <c r="AH317" s="2"/>
      <c r="AI317" s="2"/>
    </row>
    <row r="318" spans="1:35" ht="15.75">
      <c r="A318" s="1"/>
      <c r="R318" s="2"/>
      <c r="S318" s="2"/>
      <c r="X318" s="3"/>
      <c r="Y318" s="3"/>
      <c r="Z318" s="3"/>
      <c r="AG318" s="2"/>
      <c r="AH318" s="2"/>
      <c r="AI318" s="2"/>
    </row>
    <row r="319" spans="1:35" ht="15.75">
      <c r="A319" s="1"/>
      <c r="R319" s="2"/>
      <c r="S319" s="2"/>
      <c r="X319" s="3"/>
      <c r="Y319" s="3"/>
      <c r="Z319" s="3"/>
      <c r="AG319" s="2"/>
      <c r="AH319" s="2"/>
      <c r="AI319" s="2"/>
    </row>
    <row r="320" spans="1:35" ht="15.75">
      <c r="A320" s="1"/>
      <c r="R320" s="2"/>
      <c r="S320" s="2"/>
      <c r="X320" s="3"/>
      <c r="Y320" s="3"/>
      <c r="Z320" s="3"/>
      <c r="AG320" s="2"/>
      <c r="AH320" s="2"/>
      <c r="AI320" s="2"/>
    </row>
    <row r="321" spans="1:35" ht="15.75">
      <c r="A321" s="1"/>
      <c r="R321" s="2"/>
      <c r="S321" s="2"/>
      <c r="X321" s="3"/>
      <c r="Y321" s="3"/>
      <c r="Z321" s="3"/>
      <c r="AG321" s="2"/>
      <c r="AH321" s="2"/>
      <c r="AI321" s="2"/>
    </row>
    <row r="322" spans="1:35" ht="15.75">
      <c r="A322" s="1"/>
      <c r="R322" s="2"/>
      <c r="S322" s="2"/>
      <c r="X322" s="3"/>
      <c r="Y322" s="3"/>
      <c r="Z322" s="3"/>
      <c r="AG322" s="2"/>
      <c r="AH322" s="2"/>
      <c r="AI322" s="2"/>
    </row>
    <row r="323" spans="1:35" ht="15.75">
      <c r="A323" s="1"/>
      <c r="R323" s="2"/>
      <c r="S323" s="2"/>
      <c r="X323" s="3"/>
      <c r="Y323" s="3"/>
      <c r="Z323" s="3"/>
      <c r="AG323" s="2"/>
      <c r="AH323" s="2"/>
      <c r="AI323" s="2"/>
    </row>
    <row r="324" spans="1:35" ht="15.75">
      <c r="A324" s="1"/>
      <c r="R324" s="2"/>
      <c r="S324" s="2"/>
      <c r="X324" s="3"/>
      <c r="Y324" s="3"/>
      <c r="Z324" s="3"/>
      <c r="AG324" s="2"/>
      <c r="AH324" s="2"/>
      <c r="AI324" s="2"/>
    </row>
    <row r="325" spans="1:35" ht="15.75">
      <c r="A325" s="1"/>
      <c r="R325" s="2"/>
      <c r="S325" s="2"/>
      <c r="X325" s="3"/>
      <c r="Y325" s="3"/>
      <c r="Z325" s="3"/>
      <c r="AG325" s="2"/>
      <c r="AH325" s="2"/>
      <c r="AI325" s="2"/>
    </row>
    <row r="326" spans="1:35" ht="15.75">
      <c r="A326" s="1"/>
      <c r="R326" s="2"/>
      <c r="S326" s="2"/>
      <c r="X326" s="3"/>
      <c r="Y326" s="3"/>
      <c r="Z326" s="3"/>
      <c r="AG326" s="2"/>
      <c r="AH326" s="2"/>
      <c r="AI326" s="2"/>
    </row>
    <row r="327" spans="1:35" ht="15.75">
      <c r="A327" s="1"/>
      <c r="R327" s="2"/>
      <c r="S327" s="2"/>
      <c r="X327" s="3"/>
      <c r="Y327" s="3"/>
      <c r="Z327" s="3"/>
      <c r="AG327" s="2"/>
      <c r="AH327" s="2"/>
      <c r="AI327" s="2"/>
    </row>
    <row r="328" spans="1:35" ht="15.75">
      <c r="A328" s="1"/>
      <c r="R328" s="2"/>
      <c r="S328" s="2"/>
      <c r="X328" s="3"/>
      <c r="Y328" s="3"/>
      <c r="Z328" s="3"/>
      <c r="AG328" s="2"/>
      <c r="AH328" s="2"/>
      <c r="AI328" s="2"/>
    </row>
    <row r="329" spans="1:35" ht="15.75">
      <c r="A329" s="1"/>
      <c r="R329" s="2"/>
      <c r="S329" s="2"/>
      <c r="X329" s="3"/>
      <c r="Y329" s="3"/>
      <c r="Z329" s="3"/>
      <c r="AG329" s="2"/>
      <c r="AH329" s="2"/>
      <c r="AI329" s="2"/>
    </row>
    <row r="330" spans="1:35" ht="15.75">
      <c r="A330" s="1"/>
      <c r="R330" s="2"/>
      <c r="S330" s="2"/>
      <c r="X330" s="3"/>
      <c r="Y330" s="3"/>
      <c r="Z330" s="3"/>
      <c r="AG330" s="2"/>
      <c r="AH330" s="2"/>
      <c r="AI330" s="2"/>
    </row>
    <row r="331" spans="1:35" ht="15.75">
      <c r="A331" s="1"/>
      <c r="R331" s="2"/>
      <c r="S331" s="2"/>
      <c r="X331" s="3"/>
      <c r="Y331" s="3"/>
      <c r="Z331" s="3"/>
      <c r="AG331" s="2"/>
      <c r="AH331" s="2"/>
      <c r="AI331" s="2"/>
    </row>
    <row r="332" spans="1:35" ht="15.75">
      <c r="A332" s="1"/>
      <c r="R332" s="2"/>
      <c r="S332" s="2"/>
      <c r="X332" s="3"/>
      <c r="Y332" s="3"/>
      <c r="Z332" s="3"/>
      <c r="AG332" s="2"/>
      <c r="AH332" s="2"/>
      <c r="AI332" s="2"/>
    </row>
    <row r="333" spans="1:35" ht="15.75">
      <c r="A333" s="1"/>
      <c r="R333" s="2"/>
      <c r="S333" s="2"/>
      <c r="X333" s="3"/>
      <c r="Y333" s="3"/>
      <c r="Z333" s="3"/>
      <c r="AG333" s="2"/>
      <c r="AH333" s="2"/>
      <c r="AI333" s="2"/>
    </row>
    <row r="334" spans="1:35" ht="15.75">
      <c r="A334" s="1"/>
      <c r="R334" s="2"/>
      <c r="S334" s="2"/>
      <c r="X334" s="3"/>
      <c r="Y334" s="3"/>
      <c r="Z334" s="3"/>
      <c r="AG334" s="2"/>
      <c r="AH334" s="2"/>
      <c r="AI334" s="2"/>
    </row>
    <row r="335" spans="1:35" ht="15.75">
      <c r="A335" s="1"/>
      <c r="R335" s="2"/>
      <c r="S335" s="2"/>
      <c r="X335" s="3"/>
      <c r="Y335" s="3"/>
      <c r="Z335" s="3"/>
      <c r="AG335" s="2"/>
      <c r="AH335" s="2"/>
      <c r="AI335" s="2"/>
    </row>
    <row r="336" spans="1:35" ht="15.75">
      <c r="A336" s="1"/>
      <c r="R336" s="2"/>
      <c r="S336" s="2"/>
      <c r="X336" s="3"/>
      <c r="Y336" s="3"/>
      <c r="Z336" s="3"/>
      <c r="AG336" s="2"/>
      <c r="AH336" s="2"/>
      <c r="AI336" s="2"/>
    </row>
    <row r="337" spans="1:35" ht="15.75">
      <c r="A337" s="1"/>
      <c r="R337" s="2"/>
      <c r="S337" s="2"/>
      <c r="X337" s="3"/>
      <c r="Y337" s="3"/>
      <c r="Z337" s="3"/>
      <c r="AG337" s="2"/>
      <c r="AH337" s="2"/>
      <c r="AI337" s="2"/>
    </row>
    <row r="338" spans="1:35" ht="15.75">
      <c r="A338" s="1"/>
      <c r="R338" s="2"/>
      <c r="S338" s="2"/>
      <c r="X338" s="3"/>
      <c r="Y338" s="3"/>
      <c r="Z338" s="3"/>
      <c r="AG338" s="2"/>
      <c r="AH338" s="2"/>
      <c r="AI338" s="2"/>
    </row>
    <row r="339" spans="1:35" ht="15.75">
      <c r="A339" s="1"/>
      <c r="R339" s="2"/>
      <c r="S339" s="2"/>
      <c r="X339" s="3"/>
      <c r="Y339" s="3"/>
      <c r="Z339" s="3"/>
      <c r="AG339" s="2"/>
      <c r="AH339" s="2"/>
      <c r="AI339" s="2"/>
    </row>
    <row r="340" spans="1:35" ht="15.75">
      <c r="A340" s="1"/>
      <c r="R340" s="2"/>
      <c r="S340" s="2"/>
      <c r="X340" s="3"/>
      <c r="Y340" s="3"/>
      <c r="Z340" s="3"/>
      <c r="AG340" s="2"/>
      <c r="AH340" s="2"/>
      <c r="AI340" s="2"/>
    </row>
    <row r="341" spans="1:35" ht="15.75">
      <c r="A341" s="1"/>
      <c r="R341" s="2"/>
      <c r="S341" s="2"/>
      <c r="X341" s="3"/>
      <c r="Y341" s="3"/>
      <c r="Z341" s="3"/>
      <c r="AG341" s="2"/>
      <c r="AH341" s="2"/>
      <c r="AI341" s="2"/>
    </row>
    <row r="342" spans="1:35" ht="15.75">
      <c r="A342" s="1"/>
      <c r="R342" s="2"/>
      <c r="S342" s="2"/>
      <c r="X342" s="3"/>
      <c r="Y342" s="3"/>
      <c r="Z342" s="3"/>
      <c r="AG342" s="2"/>
      <c r="AH342" s="2"/>
      <c r="AI342" s="2"/>
    </row>
    <row r="343" spans="1:35" ht="15.75">
      <c r="A343" s="1"/>
      <c r="R343" s="2"/>
      <c r="S343" s="2"/>
      <c r="X343" s="3"/>
      <c r="Y343" s="3"/>
      <c r="Z343" s="3"/>
      <c r="AG343" s="2"/>
      <c r="AH343" s="2"/>
      <c r="AI343" s="2"/>
    </row>
    <row r="344" spans="1:35" ht="15.75">
      <c r="A344" s="1"/>
      <c r="R344" s="2"/>
      <c r="S344" s="2"/>
      <c r="X344" s="3"/>
      <c r="Y344" s="3"/>
      <c r="Z344" s="3"/>
      <c r="AG344" s="2"/>
      <c r="AH344" s="2"/>
      <c r="AI344" s="2"/>
    </row>
    <row r="345" spans="1:35" ht="15.75">
      <c r="A345" s="1"/>
      <c r="R345" s="2"/>
      <c r="S345" s="2"/>
      <c r="X345" s="3"/>
      <c r="Y345" s="3"/>
      <c r="Z345" s="3"/>
      <c r="AG345" s="2"/>
      <c r="AH345" s="2"/>
      <c r="AI345" s="2"/>
    </row>
    <row r="346" spans="1:35" ht="15.75">
      <c r="A346" s="1"/>
      <c r="R346" s="2"/>
      <c r="S346" s="2"/>
      <c r="X346" s="3"/>
      <c r="Y346" s="3"/>
      <c r="Z346" s="3"/>
      <c r="AG346" s="2"/>
      <c r="AH346" s="2"/>
      <c r="AI346" s="2"/>
    </row>
    <row r="347" spans="1:35" ht="15.75">
      <c r="A347" s="1"/>
      <c r="R347" s="2"/>
      <c r="S347" s="2"/>
      <c r="X347" s="3"/>
      <c r="Y347" s="3"/>
      <c r="Z347" s="3"/>
      <c r="AG347" s="2"/>
      <c r="AH347" s="2"/>
      <c r="AI347" s="2"/>
    </row>
    <row r="348" spans="1:35" ht="15.75">
      <c r="A348" s="1"/>
      <c r="R348" s="2"/>
      <c r="S348" s="2"/>
      <c r="X348" s="3"/>
      <c r="Y348" s="3"/>
      <c r="Z348" s="3"/>
      <c r="AG348" s="2"/>
      <c r="AH348" s="2"/>
      <c r="AI348" s="2"/>
    </row>
    <row r="349" spans="1:35" ht="15.75">
      <c r="A349" s="1"/>
      <c r="R349" s="2"/>
      <c r="S349" s="2"/>
      <c r="X349" s="3"/>
      <c r="Y349" s="3"/>
      <c r="Z349" s="3"/>
      <c r="AG349" s="2"/>
      <c r="AH349" s="2"/>
      <c r="AI349" s="2"/>
    </row>
    <row r="350" spans="1:35" ht="15.75">
      <c r="A350" s="1"/>
      <c r="R350" s="2"/>
      <c r="S350" s="2"/>
      <c r="X350" s="3"/>
      <c r="Y350" s="3"/>
      <c r="Z350" s="3"/>
      <c r="AG350" s="2"/>
      <c r="AH350" s="2"/>
      <c r="AI350" s="2"/>
    </row>
    <row r="351" spans="1:35" ht="15.75">
      <c r="A351" s="1"/>
      <c r="R351" s="2"/>
      <c r="S351" s="2"/>
      <c r="X351" s="3"/>
      <c r="Y351" s="3"/>
      <c r="Z351" s="3"/>
      <c r="AG351" s="2"/>
      <c r="AH351" s="2"/>
      <c r="AI351" s="2"/>
    </row>
    <row r="352" spans="1:35" ht="15.75">
      <c r="A352" s="1"/>
      <c r="R352" s="2"/>
      <c r="S352" s="2"/>
      <c r="X352" s="3"/>
      <c r="Y352" s="3"/>
      <c r="Z352" s="3"/>
      <c r="AG352" s="2"/>
      <c r="AH352" s="2"/>
      <c r="AI352" s="2"/>
    </row>
    <row r="353" spans="1:35" ht="15.75">
      <c r="A353" s="1"/>
      <c r="R353" s="2"/>
      <c r="S353" s="2"/>
      <c r="X353" s="3"/>
      <c r="Y353" s="3"/>
      <c r="Z353" s="3"/>
      <c r="AG353" s="2"/>
      <c r="AH353" s="2"/>
      <c r="AI353" s="2"/>
    </row>
    <row r="354" spans="1:35" ht="15.75">
      <c r="A354" s="1"/>
      <c r="R354" s="2"/>
      <c r="S354" s="2"/>
      <c r="X354" s="3"/>
      <c r="Y354" s="3"/>
      <c r="Z354" s="3"/>
      <c r="AG354" s="2"/>
      <c r="AH354" s="2"/>
      <c r="AI354" s="2"/>
    </row>
    <row r="355" spans="1:35" ht="15.75">
      <c r="A355" s="1"/>
      <c r="R355" s="2"/>
      <c r="S355" s="2"/>
      <c r="X355" s="3"/>
      <c r="Y355" s="3"/>
      <c r="Z355" s="3"/>
      <c r="AG355" s="2"/>
      <c r="AH355" s="2"/>
      <c r="AI355" s="2"/>
    </row>
    <row r="356" spans="1:35" ht="15.75">
      <c r="A356" s="1"/>
      <c r="R356" s="2"/>
      <c r="S356" s="2"/>
      <c r="X356" s="3"/>
      <c r="Y356" s="3"/>
      <c r="Z356" s="3"/>
      <c r="AG356" s="2"/>
      <c r="AH356" s="2"/>
      <c r="AI356" s="2"/>
    </row>
    <row r="357" spans="1:35" ht="15.75">
      <c r="A357" s="1"/>
      <c r="R357" s="2"/>
      <c r="S357" s="2"/>
      <c r="X357" s="3"/>
      <c r="Y357" s="3"/>
      <c r="Z357" s="3"/>
      <c r="AG357" s="2"/>
      <c r="AH357" s="2"/>
      <c r="AI357" s="2"/>
    </row>
    <row r="358" spans="1:35" ht="15.75">
      <c r="A358" s="1"/>
      <c r="R358" s="2"/>
      <c r="S358" s="2"/>
      <c r="X358" s="3"/>
      <c r="Y358" s="3"/>
      <c r="Z358" s="3"/>
      <c r="AG358" s="2"/>
      <c r="AH358" s="2"/>
      <c r="AI358" s="2"/>
    </row>
    <row r="359" spans="1:35" ht="15.75">
      <c r="A359" s="1"/>
      <c r="R359" s="2"/>
      <c r="S359" s="2"/>
      <c r="X359" s="3"/>
      <c r="Y359" s="3"/>
      <c r="Z359" s="3"/>
      <c r="AG359" s="2"/>
      <c r="AH359" s="2"/>
      <c r="AI359" s="2"/>
    </row>
    <row r="360" spans="1:35" ht="15.75">
      <c r="A360" s="1"/>
      <c r="R360" s="2"/>
      <c r="S360" s="2"/>
      <c r="X360" s="3"/>
      <c r="Y360" s="3"/>
      <c r="Z360" s="3"/>
      <c r="AG360" s="2"/>
      <c r="AH360" s="2"/>
      <c r="AI360" s="2"/>
    </row>
    <row r="361" spans="1:35" ht="15.75">
      <c r="A361" s="1"/>
      <c r="R361" s="2"/>
      <c r="S361" s="2"/>
      <c r="X361" s="3"/>
      <c r="Y361" s="3"/>
      <c r="Z361" s="3"/>
      <c r="AG361" s="2"/>
      <c r="AH361" s="2"/>
      <c r="AI361" s="2"/>
    </row>
    <row r="362" spans="1:35" ht="15.75">
      <c r="A362" s="1"/>
      <c r="R362" s="2"/>
      <c r="S362" s="2"/>
      <c r="X362" s="3"/>
      <c r="Y362" s="3"/>
      <c r="Z362" s="3"/>
      <c r="AG362" s="2"/>
      <c r="AH362" s="2"/>
      <c r="AI362" s="2"/>
    </row>
    <row r="363" spans="1:35" ht="15.75">
      <c r="A363" s="1"/>
      <c r="R363" s="2"/>
      <c r="S363" s="2"/>
      <c r="X363" s="3"/>
      <c r="Y363" s="3"/>
      <c r="Z363" s="3"/>
      <c r="AG363" s="2"/>
      <c r="AH363" s="2"/>
      <c r="AI363" s="2"/>
    </row>
    <row r="364" spans="1:35" ht="15.75">
      <c r="A364" s="1"/>
      <c r="R364" s="2"/>
      <c r="S364" s="2"/>
      <c r="X364" s="3"/>
      <c r="Y364" s="3"/>
      <c r="Z364" s="3"/>
      <c r="AG364" s="2"/>
      <c r="AH364" s="2"/>
      <c r="AI364" s="2"/>
    </row>
    <row r="365" spans="1:35" ht="15.75">
      <c r="A365" s="1"/>
      <c r="R365" s="2"/>
      <c r="S365" s="2"/>
      <c r="X365" s="3"/>
      <c r="Y365" s="3"/>
      <c r="Z365" s="3"/>
      <c r="AG365" s="2"/>
      <c r="AH365" s="2"/>
      <c r="AI365" s="2"/>
    </row>
    <row r="366" spans="1:35" ht="15.75">
      <c r="A366" s="1"/>
      <c r="R366" s="2"/>
      <c r="S366" s="2"/>
      <c r="X366" s="3"/>
      <c r="Y366" s="3"/>
      <c r="Z366" s="3"/>
      <c r="AG366" s="2"/>
      <c r="AH366" s="2"/>
      <c r="AI366" s="2"/>
    </row>
    <row r="367" spans="1:35" ht="15.75">
      <c r="A367" s="1"/>
      <c r="R367" s="2"/>
      <c r="S367" s="2"/>
      <c r="X367" s="3"/>
      <c r="Y367" s="3"/>
      <c r="Z367" s="3"/>
      <c r="AG367" s="2"/>
      <c r="AH367" s="2"/>
      <c r="AI367" s="2"/>
    </row>
    <row r="368" spans="1:35" ht="15.75">
      <c r="A368" s="1"/>
      <c r="R368" s="2"/>
      <c r="S368" s="2"/>
      <c r="X368" s="3"/>
      <c r="Y368" s="3"/>
      <c r="Z368" s="3"/>
      <c r="AG368" s="2"/>
      <c r="AH368" s="2"/>
      <c r="AI368" s="2"/>
    </row>
    <row r="369" spans="1:35" ht="15.75">
      <c r="A369" s="1"/>
      <c r="R369" s="2"/>
      <c r="S369" s="2"/>
      <c r="X369" s="3"/>
      <c r="Y369" s="3"/>
      <c r="Z369" s="3"/>
      <c r="AG369" s="2"/>
      <c r="AH369" s="2"/>
      <c r="AI369" s="2"/>
    </row>
    <row r="370" spans="1:35" ht="15.75">
      <c r="A370" s="1"/>
      <c r="R370" s="2"/>
      <c r="S370" s="2"/>
      <c r="X370" s="3"/>
      <c r="Y370" s="3"/>
      <c r="Z370" s="3"/>
      <c r="AG370" s="2"/>
      <c r="AH370" s="2"/>
      <c r="AI370" s="2"/>
    </row>
    <row r="371" spans="1:35" ht="15.75">
      <c r="A371" s="1"/>
      <c r="R371" s="2"/>
      <c r="S371" s="2"/>
      <c r="X371" s="3"/>
      <c r="Y371" s="3"/>
      <c r="Z371" s="3"/>
      <c r="AG371" s="2"/>
      <c r="AH371" s="2"/>
      <c r="AI371" s="2"/>
    </row>
    <row r="372" spans="1:35" ht="15.75">
      <c r="A372" s="1"/>
      <c r="R372" s="2"/>
      <c r="S372" s="2"/>
      <c r="X372" s="3"/>
      <c r="Y372" s="3"/>
      <c r="Z372" s="3"/>
      <c r="AG372" s="2"/>
      <c r="AH372" s="2"/>
      <c r="AI372" s="2"/>
    </row>
    <row r="373" spans="1:35" ht="15.75">
      <c r="A373" s="1"/>
      <c r="R373" s="2"/>
      <c r="S373" s="2"/>
      <c r="X373" s="3"/>
      <c r="Y373" s="3"/>
      <c r="Z373" s="3"/>
      <c r="AG373" s="2"/>
      <c r="AH373" s="2"/>
      <c r="AI373" s="2"/>
    </row>
    <row r="374" spans="1:35" ht="15.75">
      <c r="A374" s="1"/>
      <c r="R374" s="2"/>
      <c r="S374" s="2"/>
      <c r="X374" s="3"/>
      <c r="Y374" s="3"/>
      <c r="Z374" s="3"/>
      <c r="AG374" s="2"/>
      <c r="AH374" s="2"/>
      <c r="AI374" s="2"/>
    </row>
    <row r="375" spans="1:35" ht="15.75">
      <c r="A375" s="1"/>
      <c r="R375" s="2"/>
      <c r="S375" s="2"/>
      <c r="X375" s="3"/>
      <c r="Y375" s="3"/>
      <c r="Z375" s="3"/>
      <c r="AG375" s="2"/>
      <c r="AH375" s="2"/>
      <c r="AI375" s="2"/>
    </row>
    <row r="376" spans="1:35" ht="15.75">
      <c r="A376" s="1"/>
      <c r="R376" s="2"/>
      <c r="S376" s="2"/>
      <c r="X376" s="3"/>
      <c r="Y376" s="3"/>
      <c r="Z376" s="3"/>
      <c r="AG376" s="2"/>
      <c r="AH376" s="2"/>
      <c r="AI376" s="2"/>
    </row>
    <row r="377" spans="1:35" ht="15.75">
      <c r="A377" s="1"/>
      <c r="R377" s="2"/>
      <c r="S377" s="2"/>
      <c r="X377" s="3"/>
      <c r="Y377" s="3"/>
      <c r="Z377" s="3"/>
      <c r="AG377" s="2"/>
      <c r="AH377" s="2"/>
      <c r="AI377" s="2"/>
    </row>
    <row r="378" spans="1:35" ht="15.75">
      <c r="A378" s="1"/>
      <c r="R378" s="2"/>
      <c r="S378" s="2"/>
      <c r="X378" s="3"/>
      <c r="Y378" s="3"/>
      <c r="Z378" s="3"/>
      <c r="AG378" s="2"/>
      <c r="AH378" s="2"/>
      <c r="AI378" s="2"/>
    </row>
    <row r="379" spans="1:35" ht="15.75">
      <c r="A379" s="1"/>
      <c r="R379" s="2"/>
      <c r="S379" s="2"/>
      <c r="X379" s="3"/>
      <c r="Y379" s="3"/>
      <c r="Z379" s="3"/>
      <c r="AG379" s="2"/>
      <c r="AH379" s="2"/>
      <c r="AI379" s="2"/>
    </row>
    <row r="380" spans="1:35" ht="15.75">
      <c r="A380" s="1"/>
      <c r="R380" s="2"/>
      <c r="S380" s="2"/>
      <c r="X380" s="3"/>
      <c r="Y380" s="3"/>
      <c r="Z380" s="3"/>
      <c r="AG380" s="2"/>
      <c r="AH380" s="2"/>
      <c r="AI380" s="2"/>
    </row>
    <row r="381" spans="1:35" ht="15.75">
      <c r="A381" s="1"/>
      <c r="R381" s="2"/>
      <c r="S381" s="2"/>
      <c r="X381" s="3"/>
      <c r="Y381" s="3"/>
      <c r="Z381" s="3"/>
      <c r="AG381" s="2"/>
      <c r="AH381" s="2"/>
      <c r="AI381" s="2"/>
    </row>
    <row r="382" spans="1:35" ht="15.75">
      <c r="A382" s="1"/>
      <c r="R382" s="2"/>
      <c r="S382" s="2"/>
      <c r="X382" s="3"/>
      <c r="Y382" s="3"/>
      <c r="Z382" s="3"/>
      <c r="AG382" s="2"/>
      <c r="AH382" s="2"/>
      <c r="AI382" s="2"/>
    </row>
    <row r="383" spans="1:35" ht="15.75">
      <c r="A383" s="1"/>
      <c r="R383" s="2"/>
      <c r="S383" s="2"/>
      <c r="X383" s="3"/>
      <c r="Y383" s="3"/>
      <c r="Z383" s="3"/>
      <c r="AG383" s="2"/>
      <c r="AH383" s="2"/>
      <c r="AI383" s="2"/>
    </row>
    <row r="384" spans="1:35" ht="15.75">
      <c r="A384" s="1"/>
      <c r="R384" s="2"/>
      <c r="S384" s="2"/>
      <c r="X384" s="3"/>
      <c r="Y384" s="3"/>
      <c r="Z384" s="3"/>
      <c r="AG384" s="2"/>
      <c r="AH384" s="2"/>
      <c r="AI384" s="2"/>
    </row>
    <row r="385" spans="1:35" ht="15.75">
      <c r="A385" s="1"/>
      <c r="R385" s="2"/>
      <c r="S385" s="2"/>
      <c r="X385" s="3"/>
      <c r="Y385" s="3"/>
      <c r="Z385" s="3"/>
      <c r="AG385" s="2"/>
      <c r="AH385" s="2"/>
      <c r="AI385" s="2"/>
    </row>
    <row r="386" spans="1:35" ht="15.75">
      <c r="A386" s="1"/>
      <c r="R386" s="2"/>
      <c r="S386" s="2"/>
      <c r="X386" s="3"/>
      <c r="Y386" s="3"/>
      <c r="Z386" s="3"/>
      <c r="AG386" s="2"/>
      <c r="AH386" s="2"/>
      <c r="AI386" s="2"/>
    </row>
    <row r="387" spans="1:35" ht="15.75">
      <c r="A387" s="1"/>
      <c r="R387" s="2"/>
      <c r="S387" s="2"/>
      <c r="X387" s="3"/>
      <c r="Y387" s="3"/>
      <c r="Z387" s="3"/>
      <c r="AG387" s="2"/>
      <c r="AH387" s="2"/>
      <c r="AI387" s="2"/>
    </row>
    <row r="388" spans="1:35" ht="15.75">
      <c r="A388" s="1"/>
      <c r="R388" s="2"/>
      <c r="S388" s="2"/>
      <c r="X388" s="3"/>
      <c r="Y388" s="3"/>
      <c r="Z388" s="3"/>
      <c r="AG388" s="2"/>
      <c r="AH388" s="2"/>
      <c r="AI388" s="2"/>
    </row>
    <row r="389" spans="1:35" ht="15.75">
      <c r="A389" s="1"/>
      <c r="R389" s="2"/>
      <c r="S389" s="2"/>
      <c r="X389" s="3"/>
      <c r="Y389" s="3"/>
      <c r="Z389" s="3"/>
      <c r="AG389" s="2"/>
      <c r="AH389" s="2"/>
      <c r="AI389" s="2"/>
    </row>
    <row r="390" spans="1:35" ht="15.75">
      <c r="A390" s="1"/>
      <c r="R390" s="2"/>
      <c r="S390" s="2"/>
      <c r="X390" s="3"/>
      <c r="Y390" s="3"/>
      <c r="Z390" s="3"/>
      <c r="AG390" s="2"/>
      <c r="AH390" s="2"/>
      <c r="AI390" s="2"/>
    </row>
    <row r="391" spans="1:35" ht="15.75">
      <c r="A391" s="1"/>
      <c r="R391" s="2"/>
      <c r="S391" s="2"/>
      <c r="X391" s="3"/>
      <c r="Y391" s="3"/>
      <c r="Z391" s="3"/>
      <c r="AG391" s="2"/>
      <c r="AH391" s="2"/>
      <c r="AI391" s="2"/>
    </row>
    <row r="392" spans="1:35" ht="15.75">
      <c r="A392" s="1"/>
      <c r="R392" s="2"/>
      <c r="S392" s="2"/>
      <c r="X392" s="3"/>
      <c r="Y392" s="3"/>
      <c r="Z392" s="3"/>
      <c r="AG392" s="2"/>
      <c r="AH392" s="2"/>
      <c r="AI392" s="2"/>
    </row>
    <row r="393" spans="1:35" ht="15.75">
      <c r="A393" s="1"/>
      <c r="R393" s="2"/>
      <c r="S393" s="2"/>
      <c r="X393" s="3"/>
      <c r="Y393" s="3"/>
      <c r="Z393" s="3"/>
      <c r="AG393" s="2"/>
      <c r="AH393" s="2"/>
      <c r="AI393" s="2"/>
    </row>
    <row r="394" spans="1:35" ht="15.75">
      <c r="A394" s="1"/>
      <c r="R394" s="2"/>
      <c r="S394" s="2"/>
      <c r="X394" s="3"/>
      <c r="Y394" s="3"/>
      <c r="Z394" s="3"/>
      <c r="AG394" s="2"/>
      <c r="AH394" s="2"/>
      <c r="AI394" s="2"/>
    </row>
    <row r="395" spans="1:35" ht="15.75">
      <c r="A395" s="1"/>
      <c r="R395" s="2"/>
      <c r="S395" s="2"/>
      <c r="X395" s="3"/>
      <c r="Y395" s="3"/>
      <c r="Z395" s="3"/>
      <c r="AG395" s="2"/>
      <c r="AH395" s="2"/>
      <c r="AI395" s="2"/>
    </row>
    <row r="396" spans="1:35" ht="15.75">
      <c r="A396" s="1"/>
      <c r="R396" s="2"/>
      <c r="S396" s="2"/>
      <c r="X396" s="3"/>
      <c r="Y396" s="3"/>
      <c r="Z396" s="3"/>
      <c r="AG396" s="2"/>
      <c r="AH396" s="2"/>
      <c r="AI396" s="2"/>
    </row>
    <row r="397" spans="1:35" ht="15.75">
      <c r="A397" s="1"/>
      <c r="R397" s="2"/>
      <c r="S397" s="2"/>
      <c r="X397" s="3"/>
      <c r="Y397" s="3"/>
      <c r="Z397" s="3"/>
      <c r="AG397" s="2"/>
      <c r="AH397" s="2"/>
      <c r="AI397" s="2"/>
    </row>
    <row r="398" spans="1:35" ht="15.75">
      <c r="A398" s="1"/>
      <c r="R398" s="2"/>
      <c r="S398" s="2"/>
      <c r="X398" s="3"/>
      <c r="Y398" s="3"/>
      <c r="Z398" s="3"/>
      <c r="AG398" s="2"/>
      <c r="AH398" s="2"/>
      <c r="AI398" s="2"/>
    </row>
    <row r="399" spans="1:35" ht="15.75">
      <c r="A399" s="1"/>
      <c r="R399" s="2"/>
      <c r="S399" s="2"/>
      <c r="X399" s="3"/>
      <c r="Y399" s="3"/>
      <c r="Z399" s="3"/>
      <c r="AG399" s="2"/>
      <c r="AH399" s="2"/>
      <c r="AI399" s="2"/>
    </row>
    <row r="400" spans="1:35" ht="15.75">
      <c r="A400" s="1"/>
      <c r="R400" s="2"/>
      <c r="S400" s="2"/>
      <c r="X400" s="3"/>
      <c r="Y400" s="3"/>
      <c r="Z400" s="3"/>
      <c r="AG400" s="2"/>
      <c r="AH400" s="2"/>
      <c r="AI400" s="2"/>
    </row>
    <row r="401" spans="1:35" ht="15.75">
      <c r="A401" s="1"/>
      <c r="R401" s="2"/>
      <c r="S401" s="2"/>
      <c r="X401" s="3"/>
      <c r="Y401" s="3"/>
      <c r="Z401" s="3"/>
      <c r="AG401" s="2"/>
      <c r="AH401" s="2"/>
      <c r="AI401" s="2"/>
    </row>
    <row r="402" spans="1:35" ht="15.75">
      <c r="A402" s="1"/>
      <c r="R402" s="2"/>
      <c r="S402" s="2"/>
      <c r="X402" s="3"/>
      <c r="Y402" s="3"/>
      <c r="Z402" s="3"/>
      <c r="AG402" s="2"/>
      <c r="AH402" s="2"/>
      <c r="AI402" s="2"/>
    </row>
    <row r="403" spans="1:35" ht="15.75">
      <c r="A403" s="1"/>
      <c r="R403" s="2"/>
      <c r="S403" s="2"/>
      <c r="X403" s="3"/>
      <c r="Y403" s="3"/>
      <c r="Z403" s="3"/>
      <c r="AG403" s="2"/>
      <c r="AH403" s="2"/>
      <c r="AI403" s="2"/>
    </row>
    <row r="404" spans="1:35" ht="15.75">
      <c r="A404" s="1"/>
      <c r="R404" s="2"/>
      <c r="S404" s="2"/>
      <c r="X404" s="3"/>
      <c r="Y404" s="3"/>
      <c r="Z404" s="3"/>
      <c r="AG404" s="2"/>
      <c r="AH404" s="2"/>
      <c r="AI404" s="2"/>
    </row>
    <row r="405" spans="1:35" ht="15.75">
      <c r="A405" s="1"/>
      <c r="R405" s="2"/>
      <c r="S405" s="2"/>
      <c r="X405" s="3"/>
      <c r="Y405" s="3"/>
      <c r="Z405" s="3"/>
      <c r="AG405" s="2"/>
      <c r="AH405" s="2"/>
      <c r="AI405" s="2"/>
    </row>
    <row r="406" spans="1:35" ht="15.75">
      <c r="A406" s="1"/>
      <c r="R406" s="2"/>
      <c r="S406" s="2"/>
      <c r="X406" s="3"/>
      <c r="Y406" s="3"/>
      <c r="Z406" s="3"/>
      <c r="AG406" s="2"/>
      <c r="AH406" s="2"/>
      <c r="AI406" s="2"/>
    </row>
    <row r="407" spans="1:35" ht="15.75">
      <c r="A407" s="1"/>
      <c r="R407" s="2"/>
      <c r="S407" s="2"/>
      <c r="X407" s="3"/>
      <c r="Y407" s="3"/>
      <c r="Z407" s="3"/>
      <c r="AG407" s="2"/>
      <c r="AH407" s="2"/>
      <c r="AI407" s="2"/>
    </row>
    <row r="408" spans="1:35" ht="15.75">
      <c r="A408" s="1"/>
      <c r="R408" s="2"/>
      <c r="S408" s="2"/>
      <c r="X408" s="3"/>
      <c r="Y408" s="3"/>
      <c r="Z408" s="3"/>
      <c r="AG408" s="2"/>
      <c r="AH408" s="2"/>
      <c r="AI408" s="2"/>
    </row>
    <row r="409" spans="1:35" ht="15.75">
      <c r="A409" s="1"/>
      <c r="R409" s="2"/>
      <c r="S409" s="2"/>
      <c r="X409" s="3"/>
      <c r="Y409" s="3"/>
      <c r="Z409" s="3"/>
      <c r="AG409" s="2"/>
      <c r="AH409" s="2"/>
      <c r="AI409" s="2"/>
    </row>
    <row r="410" spans="1:35" ht="15.75">
      <c r="A410" s="1"/>
      <c r="R410" s="2"/>
      <c r="S410" s="2"/>
      <c r="X410" s="3"/>
      <c r="Y410" s="3"/>
      <c r="Z410" s="3"/>
      <c r="AG410" s="2"/>
      <c r="AH410" s="2"/>
      <c r="AI410" s="2"/>
    </row>
    <row r="411" spans="1:35" ht="15.75">
      <c r="A411" s="1"/>
      <c r="R411" s="2"/>
      <c r="S411" s="2"/>
      <c r="X411" s="3"/>
      <c r="Y411" s="3"/>
      <c r="Z411" s="3"/>
      <c r="AG411" s="2"/>
      <c r="AH411" s="2"/>
      <c r="AI411" s="2"/>
    </row>
    <row r="412" spans="1:35" ht="15.75">
      <c r="A412" s="1"/>
      <c r="R412" s="2"/>
      <c r="S412" s="2"/>
      <c r="X412" s="3"/>
      <c r="Y412" s="3"/>
      <c r="Z412" s="3"/>
      <c r="AG412" s="2"/>
      <c r="AH412" s="2"/>
      <c r="AI412" s="2"/>
    </row>
    <row r="413" spans="1:35" ht="15.75">
      <c r="A413" s="1"/>
      <c r="R413" s="2"/>
      <c r="S413" s="2"/>
      <c r="X413" s="3"/>
      <c r="Y413" s="3"/>
      <c r="Z413" s="3"/>
      <c r="AG413" s="2"/>
      <c r="AH413" s="2"/>
      <c r="AI413" s="2"/>
    </row>
    <row r="414" spans="1:35" ht="15.75">
      <c r="A414" s="1"/>
      <c r="R414" s="2"/>
      <c r="S414" s="2"/>
      <c r="X414" s="3"/>
      <c r="Y414" s="3"/>
      <c r="Z414" s="3"/>
      <c r="AG414" s="2"/>
      <c r="AH414" s="2"/>
      <c r="AI414" s="2"/>
    </row>
    <row r="415" spans="1:35" ht="15.75">
      <c r="A415" s="1"/>
      <c r="R415" s="2"/>
      <c r="S415" s="2"/>
      <c r="X415" s="3"/>
      <c r="Y415" s="3"/>
      <c r="Z415" s="3"/>
      <c r="AG415" s="2"/>
      <c r="AH415" s="2"/>
      <c r="AI415" s="2"/>
    </row>
    <row r="416" spans="1:35" ht="15.75">
      <c r="A416" s="1"/>
      <c r="R416" s="2"/>
      <c r="S416" s="2"/>
      <c r="X416" s="3"/>
      <c r="Y416" s="3"/>
      <c r="Z416" s="3"/>
      <c r="AG416" s="2"/>
      <c r="AH416" s="2"/>
      <c r="AI416" s="2"/>
    </row>
    <row r="417" spans="1:35" ht="15.75">
      <c r="A417" s="1"/>
      <c r="R417" s="2"/>
      <c r="S417" s="2"/>
      <c r="X417" s="3"/>
      <c r="Y417" s="3"/>
      <c r="Z417" s="3"/>
      <c r="AG417" s="2"/>
      <c r="AH417" s="2"/>
      <c r="AI417" s="2"/>
    </row>
    <row r="418" spans="1:35" ht="15.75">
      <c r="A418" s="1"/>
      <c r="R418" s="2"/>
      <c r="S418" s="2"/>
      <c r="X418" s="3"/>
      <c r="Y418" s="3"/>
      <c r="Z418" s="3"/>
      <c r="AG418" s="2"/>
      <c r="AH418" s="2"/>
      <c r="AI418" s="2"/>
    </row>
    <row r="419" spans="1:35" ht="15.75">
      <c r="A419" s="1"/>
      <c r="R419" s="2"/>
      <c r="S419" s="2"/>
      <c r="X419" s="3"/>
      <c r="Y419" s="3"/>
      <c r="Z419" s="3"/>
      <c r="AG419" s="2"/>
      <c r="AH419" s="2"/>
      <c r="AI419" s="2"/>
    </row>
    <row r="420" spans="1:35" ht="15.75">
      <c r="A420" s="1"/>
      <c r="R420" s="2"/>
      <c r="S420" s="2"/>
      <c r="X420" s="3"/>
      <c r="Y420" s="3"/>
      <c r="Z420" s="3"/>
      <c r="AG420" s="2"/>
      <c r="AH420" s="2"/>
      <c r="AI420" s="2"/>
    </row>
    <row r="421" spans="1:35" ht="15.75">
      <c r="A421" s="1"/>
      <c r="R421" s="2"/>
      <c r="S421" s="2"/>
      <c r="X421" s="3"/>
      <c r="Y421" s="3"/>
      <c r="Z421" s="3"/>
      <c r="AG421" s="2"/>
      <c r="AH421" s="2"/>
      <c r="AI421" s="2"/>
    </row>
    <row r="422" spans="1:35" ht="15.75">
      <c r="A422" s="1"/>
      <c r="R422" s="2"/>
      <c r="S422" s="2"/>
      <c r="X422" s="3"/>
      <c r="Y422" s="3"/>
      <c r="Z422" s="3"/>
      <c r="AG422" s="2"/>
      <c r="AH422" s="2"/>
      <c r="AI422" s="2"/>
    </row>
    <row r="423" spans="1:35" ht="15.75">
      <c r="A423" s="1"/>
      <c r="R423" s="2"/>
      <c r="S423" s="2"/>
      <c r="X423" s="3"/>
      <c r="Y423" s="3"/>
      <c r="Z423" s="3"/>
      <c r="AG423" s="2"/>
      <c r="AH423" s="2"/>
      <c r="AI423" s="2"/>
    </row>
    <row r="424" spans="1:35" ht="15.75">
      <c r="A424" s="1"/>
      <c r="R424" s="2"/>
      <c r="S424" s="2"/>
      <c r="X424" s="3"/>
      <c r="Y424" s="3"/>
      <c r="Z424" s="3"/>
      <c r="AG424" s="2"/>
      <c r="AH424" s="2"/>
      <c r="AI424" s="2"/>
    </row>
    <row r="425" spans="1:35" ht="15.75">
      <c r="A425" s="1"/>
      <c r="R425" s="2"/>
      <c r="S425" s="2"/>
      <c r="X425" s="3"/>
      <c r="Y425" s="3"/>
      <c r="Z425" s="3"/>
      <c r="AG425" s="2"/>
      <c r="AH425" s="2"/>
      <c r="AI425" s="2"/>
    </row>
    <row r="426" spans="1:35" ht="15.75">
      <c r="A426" s="1"/>
      <c r="R426" s="2"/>
      <c r="S426" s="2"/>
      <c r="X426" s="3"/>
      <c r="Y426" s="3"/>
      <c r="Z426" s="3"/>
      <c r="AG426" s="2"/>
      <c r="AH426" s="2"/>
      <c r="AI426" s="2"/>
    </row>
    <row r="427" spans="1:35" ht="15.75">
      <c r="A427" s="1"/>
      <c r="R427" s="2"/>
      <c r="S427" s="2"/>
      <c r="X427" s="3"/>
      <c r="Y427" s="3"/>
      <c r="Z427" s="3"/>
      <c r="AG427" s="2"/>
      <c r="AH427" s="2"/>
      <c r="AI427" s="2"/>
    </row>
    <row r="428" spans="1:35" ht="15.75">
      <c r="A428" s="1"/>
      <c r="R428" s="2"/>
      <c r="S428" s="2"/>
      <c r="X428" s="3"/>
      <c r="Y428" s="3"/>
      <c r="Z428" s="3"/>
      <c r="AG428" s="2"/>
      <c r="AH428" s="2"/>
      <c r="AI428" s="2"/>
    </row>
    <row r="429" spans="1:35" ht="15.75">
      <c r="A429" s="1"/>
      <c r="R429" s="2"/>
      <c r="S429" s="2"/>
      <c r="X429" s="3"/>
      <c r="Y429" s="3"/>
      <c r="Z429" s="3"/>
      <c r="AG429" s="2"/>
      <c r="AH429" s="2"/>
      <c r="AI429" s="2"/>
    </row>
    <row r="430" spans="1:35" ht="15.75">
      <c r="A430" s="1"/>
      <c r="R430" s="2"/>
      <c r="S430" s="2"/>
      <c r="X430" s="3"/>
      <c r="Y430" s="3"/>
      <c r="Z430" s="3"/>
      <c r="AG430" s="2"/>
      <c r="AH430" s="2"/>
      <c r="AI430" s="2"/>
    </row>
    <row r="431" spans="1:35" ht="15.75">
      <c r="A431" s="1"/>
      <c r="R431" s="2"/>
      <c r="S431" s="2"/>
      <c r="X431" s="3"/>
      <c r="Y431" s="3"/>
      <c r="Z431" s="3"/>
      <c r="AG431" s="2"/>
      <c r="AH431" s="2"/>
      <c r="AI431" s="2"/>
    </row>
    <row r="432" spans="1:35" ht="15.75">
      <c r="A432" s="1"/>
      <c r="R432" s="2"/>
      <c r="S432" s="2"/>
      <c r="X432" s="3"/>
      <c r="Y432" s="3"/>
      <c r="Z432" s="3"/>
      <c r="AG432" s="2"/>
      <c r="AH432" s="2"/>
      <c r="AI432" s="2"/>
    </row>
    <row r="433" spans="1:35" ht="15.75">
      <c r="A433" s="1"/>
      <c r="R433" s="2"/>
      <c r="S433" s="2"/>
      <c r="X433" s="3"/>
      <c r="Y433" s="3"/>
      <c r="Z433" s="3"/>
      <c r="AG433" s="2"/>
      <c r="AH433" s="2"/>
      <c r="AI433" s="2"/>
    </row>
    <row r="434" spans="1:35" ht="15.75">
      <c r="A434" s="1"/>
      <c r="R434" s="2"/>
      <c r="S434" s="2"/>
      <c r="X434" s="3"/>
      <c r="Y434" s="3"/>
      <c r="Z434" s="3"/>
      <c r="AG434" s="2"/>
      <c r="AH434" s="2"/>
      <c r="AI434" s="2"/>
    </row>
    <row r="435" spans="1:35" ht="15.75">
      <c r="A435" s="1"/>
      <c r="R435" s="2"/>
      <c r="S435" s="2"/>
      <c r="X435" s="3"/>
      <c r="Y435" s="3"/>
      <c r="Z435" s="3"/>
      <c r="AG435" s="2"/>
      <c r="AH435" s="2"/>
      <c r="AI435" s="2"/>
    </row>
    <row r="436" spans="1:35" ht="15.75">
      <c r="A436" s="1"/>
      <c r="R436" s="2"/>
      <c r="S436" s="2"/>
      <c r="X436" s="3"/>
      <c r="Y436" s="3"/>
      <c r="Z436" s="3"/>
      <c r="AG436" s="2"/>
      <c r="AH436" s="2"/>
      <c r="AI436" s="2"/>
    </row>
    <row r="437" spans="1:35" ht="15.75">
      <c r="A437" s="1"/>
      <c r="R437" s="2"/>
      <c r="S437" s="2"/>
      <c r="X437" s="3"/>
      <c r="Y437" s="3"/>
      <c r="Z437" s="3"/>
      <c r="AG437" s="2"/>
      <c r="AH437" s="2"/>
      <c r="AI437" s="2"/>
    </row>
    <row r="438" spans="1:35" ht="15.75">
      <c r="A438" s="1"/>
      <c r="R438" s="2"/>
      <c r="S438" s="2"/>
      <c r="X438" s="3"/>
      <c r="Y438" s="3"/>
      <c r="Z438" s="3"/>
      <c r="AG438" s="2"/>
      <c r="AH438" s="2"/>
      <c r="AI438" s="2"/>
    </row>
    <row r="439" spans="1:35" ht="15.75">
      <c r="A439" s="1"/>
      <c r="R439" s="2"/>
      <c r="S439" s="2"/>
      <c r="X439" s="3"/>
      <c r="Y439" s="3"/>
      <c r="Z439" s="3"/>
      <c r="AG439" s="2"/>
      <c r="AH439" s="2"/>
      <c r="AI439" s="2"/>
    </row>
    <row r="440" spans="1:35" ht="15.75">
      <c r="A440" s="1"/>
      <c r="R440" s="2"/>
      <c r="S440" s="2"/>
      <c r="X440" s="3"/>
      <c r="Y440" s="3"/>
      <c r="Z440" s="3"/>
      <c r="AG440" s="2"/>
      <c r="AH440" s="2"/>
      <c r="AI440" s="2"/>
    </row>
    <row r="441" spans="1:35" ht="15.75">
      <c r="A441" s="1"/>
      <c r="R441" s="2"/>
      <c r="S441" s="2"/>
      <c r="X441" s="3"/>
      <c r="Y441" s="3"/>
      <c r="Z441" s="3"/>
      <c r="AG441" s="2"/>
      <c r="AH441" s="2"/>
      <c r="AI441" s="2"/>
    </row>
    <row r="442" spans="1:35" ht="15.75">
      <c r="A442" s="1"/>
      <c r="R442" s="2"/>
      <c r="S442" s="2"/>
      <c r="X442" s="3"/>
      <c r="Y442" s="3"/>
      <c r="Z442" s="3"/>
      <c r="AG442" s="2"/>
      <c r="AH442" s="2"/>
      <c r="AI442" s="2"/>
    </row>
    <row r="443" spans="1:35" ht="15.75">
      <c r="A443" s="1"/>
      <c r="R443" s="2"/>
      <c r="S443" s="2"/>
      <c r="X443" s="3"/>
      <c r="Y443" s="3"/>
      <c r="Z443" s="3"/>
      <c r="AG443" s="2"/>
      <c r="AH443" s="2"/>
      <c r="AI443" s="2"/>
    </row>
    <row r="444" spans="1:35" ht="15.75">
      <c r="A444" s="1"/>
      <c r="R444" s="2"/>
      <c r="S444" s="2"/>
      <c r="X444" s="3"/>
      <c r="Y444" s="3"/>
      <c r="Z444" s="3"/>
      <c r="AG444" s="2"/>
      <c r="AH444" s="2"/>
      <c r="AI444" s="2"/>
    </row>
    <row r="445" spans="1:35" ht="15.75">
      <c r="A445" s="1"/>
      <c r="R445" s="2"/>
      <c r="S445" s="2"/>
      <c r="X445" s="3"/>
      <c r="Y445" s="3"/>
      <c r="Z445" s="3"/>
      <c r="AG445" s="2"/>
      <c r="AH445" s="2"/>
      <c r="AI445" s="2"/>
    </row>
    <row r="446" spans="1:35" ht="15.75">
      <c r="A446" s="1"/>
      <c r="R446" s="2"/>
      <c r="S446" s="2"/>
      <c r="X446" s="3"/>
      <c r="Y446" s="3"/>
      <c r="Z446" s="3"/>
      <c r="AG446" s="2"/>
      <c r="AH446" s="2"/>
      <c r="AI446" s="2"/>
    </row>
    <row r="447" spans="1:35" ht="15.75">
      <c r="A447" s="1"/>
      <c r="R447" s="2"/>
      <c r="S447" s="2"/>
      <c r="X447" s="3"/>
      <c r="Y447" s="3"/>
      <c r="Z447" s="3"/>
      <c r="AG447" s="2"/>
      <c r="AH447" s="2"/>
      <c r="AI447" s="2"/>
    </row>
    <row r="448" spans="1:35" ht="15.75">
      <c r="A448" s="1"/>
      <c r="R448" s="2"/>
      <c r="S448" s="2"/>
      <c r="X448" s="3"/>
      <c r="Y448" s="3"/>
      <c r="Z448" s="3"/>
      <c r="AG448" s="2"/>
      <c r="AH448" s="2"/>
      <c r="AI448" s="2"/>
    </row>
    <row r="449" spans="1:35" ht="15.75">
      <c r="A449" s="1"/>
      <c r="R449" s="2"/>
      <c r="S449" s="2"/>
      <c r="X449" s="3"/>
      <c r="Y449" s="3"/>
      <c r="Z449" s="3"/>
      <c r="AG449" s="2"/>
      <c r="AH449" s="2"/>
      <c r="AI449" s="2"/>
    </row>
    <row r="450" spans="1:35" ht="15.75">
      <c r="A450" s="1"/>
      <c r="R450" s="2"/>
      <c r="S450" s="2"/>
      <c r="X450" s="3"/>
      <c r="Y450" s="3"/>
      <c r="Z450" s="3"/>
      <c r="AG450" s="2"/>
      <c r="AH450" s="2"/>
      <c r="AI450" s="2"/>
    </row>
    <row r="451" spans="1:35" ht="15.75">
      <c r="A451" s="1"/>
      <c r="R451" s="2"/>
      <c r="S451" s="2"/>
      <c r="X451" s="3"/>
      <c r="Y451" s="3"/>
      <c r="Z451" s="3"/>
      <c r="AG451" s="2"/>
      <c r="AH451" s="2"/>
      <c r="AI451" s="2"/>
    </row>
    <row r="452" spans="1:35" ht="15.75">
      <c r="A452" s="1"/>
      <c r="R452" s="2"/>
      <c r="S452" s="2"/>
      <c r="X452" s="3"/>
      <c r="Y452" s="3"/>
      <c r="Z452" s="3"/>
      <c r="AG452" s="2"/>
      <c r="AH452" s="2"/>
      <c r="AI452" s="2"/>
    </row>
    <row r="453" spans="1:35" ht="15.75">
      <c r="A453" s="1"/>
      <c r="R453" s="2"/>
      <c r="S453" s="2"/>
      <c r="X453" s="3"/>
      <c r="Y453" s="3"/>
      <c r="Z453" s="3"/>
      <c r="AG453" s="2"/>
      <c r="AH453" s="2"/>
      <c r="AI453" s="2"/>
    </row>
    <row r="454" spans="1:35" ht="15.75">
      <c r="A454" s="1"/>
      <c r="R454" s="2"/>
      <c r="S454" s="2"/>
      <c r="X454" s="3"/>
      <c r="Y454" s="3"/>
      <c r="Z454" s="3"/>
      <c r="AG454" s="2"/>
      <c r="AH454" s="2"/>
      <c r="AI454" s="2"/>
    </row>
    <row r="455" spans="1:35" ht="15.75">
      <c r="A455" s="1"/>
      <c r="R455" s="2"/>
      <c r="S455" s="2"/>
      <c r="X455" s="3"/>
      <c r="Y455" s="3"/>
      <c r="Z455" s="3"/>
      <c r="AG455" s="2"/>
      <c r="AH455" s="2"/>
      <c r="AI455" s="2"/>
    </row>
    <row r="456" spans="1:35" ht="15.75">
      <c r="A456" s="1"/>
      <c r="R456" s="2"/>
      <c r="S456" s="2"/>
      <c r="X456" s="3"/>
      <c r="Y456" s="3"/>
      <c r="Z456" s="3"/>
      <c r="AG456" s="2"/>
      <c r="AH456" s="2"/>
      <c r="AI456" s="2"/>
    </row>
    <row r="457" spans="1:35" ht="15.75">
      <c r="A457" s="1"/>
      <c r="R457" s="2"/>
      <c r="S457" s="2"/>
      <c r="X457" s="3"/>
      <c r="Y457" s="3"/>
      <c r="Z457" s="3"/>
      <c r="AG457" s="2"/>
      <c r="AH457" s="2"/>
      <c r="AI457" s="2"/>
    </row>
    <row r="458" spans="1:35" ht="15.75">
      <c r="A458" s="1"/>
      <c r="R458" s="2"/>
      <c r="S458" s="2"/>
      <c r="X458" s="3"/>
      <c r="Y458" s="3"/>
      <c r="Z458" s="3"/>
      <c r="AG458" s="2"/>
      <c r="AH458" s="2"/>
      <c r="AI458" s="2"/>
    </row>
    <row r="459" spans="1:35" ht="15.75">
      <c r="A459" s="1"/>
      <c r="R459" s="2"/>
      <c r="S459" s="2"/>
      <c r="X459" s="3"/>
      <c r="Y459" s="3"/>
      <c r="Z459" s="3"/>
      <c r="AG459" s="2"/>
      <c r="AH459" s="2"/>
      <c r="AI459" s="2"/>
    </row>
    <row r="460" spans="1:35" ht="15.75">
      <c r="A460" s="1"/>
      <c r="R460" s="2"/>
      <c r="S460" s="2"/>
      <c r="X460" s="3"/>
      <c r="Y460" s="3"/>
      <c r="Z460" s="3"/>
      <c r="AG460" s="2"/>
      <c r="AH460" s="2"/>
      <c r="AI460" s="2"/>
    </row>
    <row r="461" spans="1:35" ht="15.75">
      <c r="A461" s="1"/>
      <c r="R461" s="2"/>
      <c r="S461" s="2"/>
      <c r="X461" s="3"/>
      <c r="Y461" s="3"/>
      <c r="Z461" s="3"/>
      <c r="AG461" s="2"/>
      <c r="AH461" s="2"/>
      <c r="AI461" s="2"/>
    </row>
    <row r="462" spans="1:35" ht="15.75">
      <c r="A462" s="1"/>
      <c r="R462" s="2"/>
      <c r="S462" s="2"/>
      <c r="X462" s="3"/>
      <c r="Y462" s="3"/>
      <c r="Z462" s="3"/>
      <c r="AG462" s="2"/>
      <c r="AH462" s="2"/>
      <c r="AI462" s="2"/>
    </row>
    <row r="463" spans="1:35" ht="15.75">
      <c r="A463" s="1"/>
      <c r="R463" s="2"/>
      <c r="S463" s="2"/>
      <c r="X463" s="3"/>
      <c r="Y463" s="3"/>
      <c r="Z463" s="3"/>
      <c r="AG463" s="2"/>
      <c r="AH463" s="2"/>
      <c r="AI463" s="2"/>
    </row>
    <row r="464" spans="1:35" ht="15.75">
      <c r="A464" s="1"/>
      <c r="R464" s="2"/>
      <c r="S464" s="2"/>
      <c r="X464" s="3"/>
      <c r="Y464" s="3"/>
      <c r="Z464" s="3"/>
      <c r="AG464" s="2"/>
      <c r="AH464" s="2"/>
      <c r="AI464" s="2"/>
    </row>
    <row r="465" spans="1:35" ht="15.75">
      <c r="A465" s="1"/>
      <c r="R465" s="2"/>
      <c r="S465" s="2"/>
      <c r="X465" s="3"/>
      <c r="Y465" s="3"/>
      <c r="Z465" s="3"/>
      <c r="AG465" s="2"/>
      <c r="AH465" s="2"/>
      <c r="AI465" s="2"/>
    </row>
    <row r="466" spans="1:35" ht="15.75">
      <c r="A466" s="1"/>
      <c r="R466" s="2"/>
      <c r="S466" s="2"/>
      <c r="X466" s="3"/>
      <c r="Y466" s="3"/>
      <c r="Z466" s="3"/>
      <c r="AG466" s="2"/>
      <c r="AH466" s="2"/>
      <c r="AI466" s="2"/>
    </row>
    <row r="467" spans="1:35" ht="15.75">
      <c r="A467" s="1"/>
      <c r="R467" s="2"/>
      <c r="S467" s="2"/>
      <c r="X467" s="3"/>
      <c r="Y467" s="3"/>
      <c r="Z467" s="3"/>
      <c r="AG467" s="2"/>
      <c r="AH467" s="2"/>
      <c r="AI467" s="2"/>
    </row>
    <row r="468" spans="1:35" ht="15.75">
      <c r="A468" s="1"/>
      <c r="R468" s="2"/>
      <c r="S468" s="2"/>
      <c r="X468" s="3"/>
      <c r="Y468" s="3"/>
      <c r="Z468" s="3"/>
      <c r="AG468" s="2"/>
      <c r="AH468" s="2"/>
      <c r="AI468" s="2"/>
    </row>
    <row r="469" spans="1:35" ht="15.75">
      <c r="A469" s="1"/>
      <c r="R469" s="2"/>
      <c r="S469" s="2"/>
      <c r="X469" s="3"/>
      <c r="Y469" s="3"/>
      <c r="Z469" s="3"/>
      <c r="AG469" s="2"/>
      <c r="AH469" s="2"/>
      <c r="AI469" s="2"/>
    </row>
    <row r="470" spans="1:35" ht="15.75">
      <c r="A470" s="1"/>
      <c r="R470" s="2"/>
      <c r="S470" s="2"/>
      <c r="X470" s="3"/>
      <c r="Y470" s="3"/>
      <c r="Z470" s="3"/>
      <c r="AG470" s="2"/>
      <c r="AH470" s="2"/>
      <c r="AI470" s="2"/>
    </row>
    <row r="471" spans="1:35" ht="15.75">
      <c r="A471" s="1"/>
      <c r="R471" s="2"/>
      <c r="S471" s="2"/>
      <c r="X471" s="3"/>
      <c r="Y471" s="3"/>
      <c r="Z471" s="3"/>
      <c r="AG471" s="2"/>
      <c r="AH471" s="2"/>
      <c r="AI471" s="2"/>
    </row>
    <row r="472" spans="1:35" ht="15.75">
      <c r="A472" s="1"/>
      <c r="R472" s="2"/>
      <c r="S472" s="2"/>
      <c r="X472" s="3"/>
      <c r="Y472" s="3"/>
      <c r="Z472" s="3"/>
      <c r="AG472" s="2"/>
      <c r="AH472" s="2"/>
      <c r="AI472" s="2"/>
    </row>
    <row r="473" spans="1:35" ht="15.75">
      <c r="A473" s="1"/>
      <c r="R473" s="2"/>
      <c r="S473" s="2"/>
      <c r="X473" s="3"/>
      <c r="Y473" s="3"/>
      <c r="Z473" s="3"/>
      <c r="AG473" s="2"/>
      <c r="AH473" s="2"/>
      <c r="AI473" s="2"/>
    </row>
    <row r="474" spans="1:35" ht="15.75">
      <c r="A474" s="1"/>
      <c r="R474" s="2"/>
      <c r="S474" s="2"/>
      <c r="X474" s="3"/>
      <c r="Y474" s="3"/>
      <c r="Z474" s="3"/>
      <c r="AG474" s="2"/>
      <c r="AH474" s="2"/>
      <c r="AI474" s="2"/>
    </row>
    <row r="475" spans="1:35" ht="15.75">
      <c r="A475" s="1"/>
      <c r="R475" s="2"/>
      <c r="S475" s="2"/>
      <c r="X475" s="3"/>
      <c r="Y475" s="3"/>
      <c r="Z475" s="3"/>
      <c r="AG475" s="2"/>
      <c r="AH475" s="2"/>
      <c r="AI475" s="2"/>
    </row>
    <row r="476" spans="1:35" ht="15.75">
      <c r="A476" s="1"/>
      <c r="R476" s="2"/>
      <c r="S476" s="2"/>
      <c r="X476" s="3"/>
      <c r="Y476" s="3"/>
      <c r="Z476" s="3"/>
      <c r="AG476" s="2"/>
      <c r="AH476" s="2"/>
      <c r="AI476" s="2"/>
    </row>
    <row r="477" spans="1:35" ht="15.75">
      <c r="A477" s="1"/>
      <c r="R477" s="2"/>
      <c r="S477" s="2"/>
      <c r="X477" s="3"/>
      <c r="Y477" s="3"/>
      <c r="Z477" s="3"/>
      <c r="AG477" s="2"/>
      <c r="AH477" s="2"/>
      <c r="AI477" s="2"/>
    </row>
    <row r="478" spans="1:35" ht="15.75">
      <c r="A478" s="1"/>
      <c r="R478" s="2"/>
      <c r="S478" s="2"/>
      <c r="X478" s="3"/>
      <c r="Y478" s="3"/>
      <c r="Z478" s="3"/>
      <c r="AG478" s="2"/>
      <c r="AH478" s="2"/>
      <c r="AI478" s="2"/>
    </row>
    <row r="479" spans="1:35" ht="15.75">
      <c r="A479" s="1"/>
      <c r="R479" s="2"/>
      <c r="S479" s="2"/>
      <c r="X479" s="3"/>
      <c r="Y479" s="3"/>
      <c r="Z479" s="3"/>
      <c r="AG479" s="2"/>
      <c r="AH479" s="2"/>
      <c r="AI479" s="2"/>
    </row>
    <row r="480" spans="1:35" ht="15.75">
      <c r="A480" s="1"/>
      <c r="R480" s="2"/>
      <c r="S480" s="2"/>
      <c r="X480" s="3"/>
      <c r="Y480" s="3"/>
      <c r="Z480" s="3"/>
      <c r="AG480" s="2"/>
      <c r="AH480" s="2"/>
      <c r="AI480" s="2"/>
    </row>
    <row r="481" spans="1:35" ht="15.75">
      <c r="A481" s="1"/>
      <c r="R481" s="2"/>
      <c r="S481" s="2"/>
      <c r="X481" s="3"/>
      <c r="Y481" s="3"/>
      <c r="Z481" s="3"/>
      <c r="AG481" s="2"/>
      <c r="AH481" s="2"/>
      <c r="AI481" s="2"/>
    </row>
    <row r="482" spans="1:35" ht="15.75">
      <c r="A482" s="1"/>
      <c r="R482" s="2"/>
      <c r="S482" s="2"/>
      <c r="X482" s="3"/>
      <c r="Y482" s="3"/>
      <c r="Z482" s="3"/>
      <c r="AG482" s="2"/>
      <c r="AH482" s="2"/>
      <c r="AI482" s="2"/>
    </row>
    <row r="483" spans="1:35" ht="15.75">
      <c r="A483" s="1"/>
      <c r="R483" s="2"/>
      <c r="S483" s="2"/>
      <c r="X483" s="3"/>
      <c r="Y483" s="3"/>
      <c r="Z483" s="3"/>
      <c r="AG483" s="2"/>
      <c r="AH483" s="2"/>
      <c r="AI483" s="2"/>
    </row>
    <row r="484" spans="1:35" ht="15.75">
      <c r="A484" s="1"/>
      <c r="R484" s="2"/>
      <c r="S484" s="2"/>
      <c r="X484" s="3"/>
      <c r="Y484" s="3"/>
      <c r="Z484" s="3"/>
      <c r="AG484" s="2"/>
      <c r="AH484" s="2"/>
      <c r="AI484" s="2"/>
    </row>
    <row r="485" spans="1:35" ht="15.75">
      <c r="A485" s="1"/>
      <c r="R485" s="2"/>
      <c r="S485" s="2"/>
      <c r="X485" s="3"/>
      <c r="Y485" s="3"/>
      <c r="Z485" s="3"/>
      <c r="AG485" s="2"/>
      <c r="AH485" s="2"/>
      <c r="AI485" s="2"/>
    </row>
    <row r="486" spans="1:35" ht="15.75">
      <c r="A486" s="1"/>
      <c r="R486" s="2"/>
      <c r="S486" s="2"/>
      <c r="X486" s="3"/>
      <c r="Y486" s="3"/>
      <c r="Z486" s="3"/>
      <c r="AG486" s="2"/>
      <c r="AH486" s="2"/>
      <c r="AI486" s="2"/>
    </row>
    <row r="487" spans="1:35" ht="15.75">
      <c r="A487" s="1"/>
      <c r="R487" s="2"/>
      <c r="S487" s="2"/>
      <c r="X487" s="3"/>
      <c r="Y487" s="3"/>
      <c r="Z487" s="3"/>
      <c r="AG487" s="2"/>
      <c r="AH487" s="2"/>
      <c r="AI487" s="2"/>
    </row>
    <row r="488" spans="1:35" ht="15.75">
      <c r="A488" s="1"/>
      <c r="R488" s="2"/>
      <c r="S488" s="2"/>
      <c r="X488" s="3"/>
      <c r="Y488" s="3"/>
      <c r="Z488" s="3"/>
      <c r="AG488" s="2"/>
      <c r="AH488" s="2"/>
      <c r="AI488" s="2"/>
    </row>
    <row r="489" spans="1:35" ht="15.75">
      <c r="A489" s="1"/>
      <c r="R489" s="2"/>
      <c r="S489" s="2"/>
      <c r="X489" s="3"/>
      <c r="Y489" s="3"/>
      <c r="Z489" s="3"/>
      <c r="AG489" s="2"/>
      <c r="AH489" s="2"/>
      <c r="AI489" s="2"/>
    </row>
    <row r="490" spans="1:35" ht="15.75">
      <c r="A490" s="1"/>
      <c r="R490" s="2"/>
      <c r="S490" s="2"/>
      <c r="X490" s="3"/>
      <c r="Y490" s="3"/>
      <c r="Z490" s="3"/>
      <c r="AG490" s="2"/>
      <c r="AH490" s="2"/>
      <c r="AI490" s="2"/>
    </row>
    <row r="491" spans="1:35" ht="15.75">
      <c r="A491" s="1"/>
      <c r="R491" s="2"/>
      <c r="S491" s="2"/>
      <c r="X491" s="3"/>
      <c r="Y491" s="3"/>
      <c r="Z491" s="3"/>
      <c r="AG491" s="2"/>
      <c r="AH491" s="2"/>
      <c r="AI491" s="2"/>
    </row>
    <row r="492" spans="1:35" ht="15.75">
      <c r="A492" s="1"/>
      <c r="R492" s="2"/>
      <c r="S492" s="2"/>
      <c r="X492" s="3"/>
      <c r="Y492" s="3"/>
      <c r="Z492" s="3"/>
      <c r="AG492" s="2"/>
      <c r="AH492" s="2"/>
      <c r="AI492" s="2"/>
    </row>
    <row r="493" spans="1:35" ht="15.75">
      <c r="A493" s="1"/>
      <c r="R493" s="2"/>
      <c r="S493" s="2"/>
      <c r="X493" s="3"/>
      <c r="Y493" s="3"/>
      <c r="Z493" s="3"/>
      <c r="AG493" s="2"/>
      <c r="AH493" s="2"/>
      <c r="AI493" s="2"/>
    </row>
    <row r="494" spans="1:35" ht="15.75">
      <c r="A494" s="1"/>
      <c r="R494" s="2"/>
      <c r="S494" s="2"/>
      <c r="X494" s="3"/>
      <c r="Y494" s="3"/>
      <c r="Z494" s="3"/>
      <c r="AG494" s="2"/>
      <c r="AH494" s="2"/>
      <c r="AI494" s="2"/>
    </row>
    <row r="495" spans="1:35" ht="15.75">
      <c r="A495" s="1"/>
      <c r="R495" s="2"/>
      <c r="S495" s="2"/>
      <c r="X495" s="3"/>
      <c r="Y495" s="3"/>
      <c r="Z495" s="3"/>
      <c r="AG495" s="2"/>
      <c r="AH495" s="2"/>
      <c r="AI495" s="2"/>
    </row>
    <row r="496" spans="1:35" ht="15.75">
      <c r="A496" s="1"/>
      <c r="R496" s="2"/>
      <c r="S496" s="2"/>
      <c r="X496" s="3"/>
      <c r="Y496" s="3"/>
      <c r="Z496" s="3"/>
      <c r="AG496" s="2"/>
      <c r="AH496" s="2"/>
      <c r="AI496" s="2"/>
    </row>
    <row r="497" spans="1:35" ht="15.75">
      <c r="A497" s="1"/>
      <c r="R497" s="2"/>
      <c r="S497" s="2"/>
      <c r="X497" s="3"/>
      <c r="Y497" s="3"/>
      <c r="Z497" s="3"/>
      <c r="AG497" s="2"/>
      <c r="AH497" s="2"/>
      <c r="AI497" s="2"/>
    </row>
    <row r="498" spans="1:35" ht="15.75">
      <c r="A498" s="1"/>
      <c r="R498" s="2"/>
      <c r="S498" s="2"/>
      <c r="X498" s="3"/>
      <c r="Y498" s="3"/>
      <c r="Z498" s="3"/>
      <c r="AG498" s="2"/>
      <c r="AH498" s="2"/>
      <c r="AI498" s="2"/>
    </row>
    <row r="499" spans="1:35" ht="15.75">
      <c r="A499" s="1"/>
      <c r="R499" s="2"/>
      <c r="S499" s="2"/>
      <c r="X499" s="3"/>
      <c r="Y499" s="3"/>
      <c r="Z499" s="3"/>
      <c r="AG499" s="2"/>
      <c r="AH499" s="2"/>
      <c r="AI499" s="2"/>
    </row>
    <row r="500" spans="1:35" ht="15.75">
      <c r="A500" s="1"/>
      <c r="R500" s="2"/>
      <c r="S500" s="2"/>
      <c r="X500" s="3"/>
      <c r="Y500" s="3"/>
      <c r="Z500" s="3"/>
      <c r="AG500" s="2"/>
      <c r="AH500" s="2"/>
      <c r="AI500" s="2"/>
    </row>
    <row r="501" spans="1:35" ht="15.75">
      <c r="A501" s="1"/>
      <c r="R501" s="2"/>
      <c r="S501" s="2"/>
      <c r="X501" s="3"/>
      <c r="Y501" s="3"/>
      <c r="Z501" s="3"/>
      <c r="AG501" s="2"/>
      <c r="AH501" s="2"/>
      <c r="AI501" s="2"/>
    </row>
    <row r="502" spans="1:35" ht="15.75">
      <c r="A502" s="1"/>
      <c r="R502" s="2"/>
      <c r="S502" s="2"/>
      <c r="X502" s="3"/>
      <c r="Y502" s="3"/>
      <c r="Z502" s="3"/>
      <c r="AG502" s="2"/>
      <c r="AH502" s="2"/>
      <c r="AI502" s="2"/>
    </row>
    <row r="503" spans="1:35" ht="15.75">
      <c r="A503" s="1"/>
      <c r="R503" s="2"/>
      <c r="S503" s="2"/>
      <c r="X503" s="3"/>
      <c r="Y503" s="3"/>
      <c r="Z503" s="3"/>
      <c r="AG503" s="2"/>
      <c r="AH503" s="2"/>
      <c r="AI503" s="2"/>
    </row>
    <row r="504" spans="1:35" ht="15.75">
      <c r="A504" s="1"/>
      <c r="R504" s="2"/>
      <c r="S504" s="2"/>
      <c r="X504" s="3"/>
      <c r="Y504" s="3"/>
      <c r="Z504" s="3"/>
      <c r="AG504" s="2"/>
      <c r="AH504" s="2"/>
      <c r="AI504" s="2"/>
    </row>
    <row r="505" spans="1:35" ht="15.75">
      <c r="A505" s="1"/>
      <c r="R505" s="2"/>
      <c r="S505" s="2"/>
      <c r="X505" s="3"/>
      <c r="Y505" s="3"/>
      <c r="Z505" s="3"/>
      <c r="AG505" s="2"/>
      <c r="AH505" s="2"/>
      <c r="AI505" s="2"/>
    </row>
    <row r="506" spans="1:35" ht="15.75">
      <c r="A506" s="1"/>
      <c r="R506" s="2"/>
      <c r="S506" s="2"/>
      <c r="X506" s="3"/>
      <c r="Y506" s="3"/>
      <c r="Z506" s="3"/>
      <c r="AG506" s="2"/>
      <c r="AH506" s="2"/>
      <c r="AI506" s="2"/>
    </row>
    <row r="507" spans="1:35" ht="15.75">
      <c r="A507" s="1"/>
      <c r="R507" s="2"/>
      <c r="S507" s="2"/>
      <c r="X507" s="3"/>
      <c r="Y507" s="3"/>
      <c r="Z507" s="3"/>
      <c r="AG507" s="2"/>
      <c r="AH507" s="2"/>
      <c r="AI507" s="2"/>
    </row>
    <row r="508" spans="1:35" ht="15.75">
      <c r="A508" s="1"/>
      <c r="R508" s="2"/>
      <c r="S508" s="2"/>
      <c r="X508" s="3"/>
      <c r="Y508" s="3"/>
      <c r="Z508" s="3"/>
      <c r="AG508" s="2"/>
      <c r="AH508" s="2"/>
      <c r="AI508" s="2"/>
    </row>
    <row r="509" spans="1:35" ht="15.75">
      <c r="A509" s="1"/>
      <c r="R509" s="2"/>
      <c r="S509" s="2"/>
      <c r="X509" s="3"/>
      <c r="Y509" s="3"/>
      <c r="Z509" s="3"/>
      <c r="AG509" s="2"/>
      <c r="AH509" s="2"/>
      <c r="AI509" s="2"/>
    </row>
    <row r="510" spans="1:35" ht="15.75">
      <c r="A510" s="1"/>
      <c r="R510" s="2"/>
      <c r="S510" s="2"/>
      <c r="X510" s="3"/>
      <c r="Y510" s="3"/>
      <c r="Z510" s="3"/>
      <c r="AG510" s="2"/>
      <c r="AH510" s="2"/>
      <c r="AI510" s="2"/>
    </row>
    <row r="511" spans="1:35" ht="15.75">
      <c r="A511" s="1"/>
      <c r="R511" s="2"/>
      <c r="S511" s="2"/>
      <c r="X511" s="3"/>
      <c r="Y511" s="3"/>
      <c r="Z511" s="3"/>
      <c r="AG511" s="2"/>
      <c r="AH511" s="2"/>
      <c r="AI511" s="2"/>
    </row>
    <row r="512" spans="1:35" ht="15.75">
      <c r="A512" s="1"/>
      <c r="R512" s="2"/>
      <c r="S512" s="2"/>
      <c r="X512" s="3"/>
      <c r="Y512" s="3"/>
      <c r="Z512" s="3"/>
      <c r="AG512" s="2"/>
      <c r="AH512" s="2"/>
      <c r="AI512" s="2"/>
    </row>
    <row r="513" spans="1:35" ht="15.75">
      <c r="A513" s="1"/>
      <c r="R513" s="2"/>
      <c r="S513" s="2"/>
      <c r="X513" s="3"/>
      <c r="Y513" s="3"/>
      <c r="Z513" s="3"/>
      <c r="AG513" s="2"/>
      <c r="AH513" s="2"/>
      <c r="AI513" s="2"/>
    </row>
    <row r="514" spans="1:35" ht="15.75">
      <c r="A514" s="1"/>
      <c r="R514" s="2"/>
      <c r="S514" s="2"/>
      <c r="X514" s="3"/>
      <c r="Y514" s="3"/>
      <c r="Z514" s="3"/>
      <c r="AG514" s="2"/>
      <c r="AH514" s="2"/>
      <c r="AI514" s="2"/>
    </row>
    <row r="515" spans="1:35" ht="15.75">
      <c r="A515" s="1"/>
      <c r="R515" s="2"/>
      <c r="S515" s="2"/>
      <c r="X515" s="3"/>
      <c r="Y515" s="3"/>
      <c r="Z515" s="3"/>
      <c r="AG515" s="2"/>
      <c r="AH515" s="2"/>
      <c r="AI515" s="2"/>
    </row>
    <row r="516" spans="1:35" ht="15.75">
      <c r="A516" s="1"/>
      <c r="R516" s="2"/>
      <c r="S516" s="2"/>
      <c r="X516" s="3"/>
      <c r="Y516" s="3"/>
      <c r="Z516" s="3"/>
      <c r="AG516" s="2"/>
      <c r="AH516" s="2"/>
      <c r="AI516" s="2"/>
    </row>
    <row r="517" spans="1:35" ht="15.75">
      <c r="A517" s="1"/>
      <c r="R517" s="2"/>
      <c r="S517" s="2"/>
      <c r="X517" s="3"/>
      <c r="Y517" s="3"/>
      <c r="Z517" s="3"/>
      <c r="AG517" s="2"/>
      <c r="AH517" s="2"/>
      <c r="AI517" s="2"/>
    </row>
    <row r="518" spans="1:35" ht="15.75">
      <c r="A518" s="1"/>
      <c r="R518" s="2"/>
      <c r="S518" s="2"/>
      <c r="X518" s="3"/>
      <c r="Y518" s="3"/>
      <c r="Z518" s="3"/>
      <c r="AG518" s="2"/>
      <c r="AH518" s="2"/>
      <c r="AI518" s="2"/>
    </row>
    <row r="519" spans="1:35" ht="15.75">
      <c r="A519" s="1"/>
      <c r="R519" s="2"/>
      <c r="S519" s="2"/>
      <c r="X519" s="3"/>
      <c r="Y519" s="3"/>
      <c r="Z519" s="3"/>
      <c r="AG519" s="2"/>
      <c r="AH519" s="2"/>
      <c r="AI519" s="2"/>
    </row>
    <row r="520" spans="1:35" ht="15.75">
      <c r="A520" s="1"/>
      <c r="R520" s="2"/>
      <c r="S520" s="2"/>
      <c r="X520" s="3"/>
      <c r="Y520" s="3"/>
      <c r="Z520" s="3"/>
      <c r="AG520" s="2"/>
      <c r="AH520" s="2"/>
      <c r="AI520" s="2"/>
    </row>
    <row r="521" spans="1:35" ht="15.75">
      <c r="A521" s="1"/>
      <c r="R521" s="2"/>
      <c r="S521" s="2"/>
      <c r="X521" s="3"/>
      <c r="Y521" s="3"/>
      <c r="Z521" s="3"/>
      <c r="AG521" s="2"/>
      <c r="AH521" s="2"/>
      <c r="AI521" s="2"/>
    </row>
    <row r="522" spans="1:35" ht="15.75">
      <c r="A522" s="1"/>
      <c r="R522" s="2"/>
      <c r="S522" s="2"/>
      <c r="X522" s="3"/>
      <c r="Y522" s="3"/>
      <c r="Z522" s="3"/>
      <c r="AG522" s="2"/>
      <c r="AH522" s="2"/>
      <c r="AI522" s="2"/>
    </row>
    <row r="523" spans="1:35" ht="15.75">
      <c r="A523" s="1"/>
      <c r="R523" s="2"/>
      <c r="S523" s="2"/>
      <c r="X523" s="3"/>
      <c r="Y523" s="3"/>
      <c r="Z523" s="3"/>
      <c r="AG523" s="2"/>
      <c r="AH523" s="2"/>
      <c r="AI523" s="2"/>
    </row>
    <row r="524" spans="1:35" ht="15.75">
      <c r="A524" s="1"/>
      <c r="R524" s="2"/>
      <c r="S524" s="2"/>
      <c r="X524" s="3"/>
      <c r="Y524" s="3"/>
      <c r="Z524" s="3"/>
      <c r="AG524" s="2"/>
      <c r="AH524" s="2"/>
      <c r="AI524" s="2"/>
    </row>
    <row r="525" spans="1:35" ht="15.75">
      <c r="A525" s="1"/>
      <c r="R525" s="2"/>
      <c r="S525" s="2"/>
      <c r="X525" s="3"/>
      <c r="Y525" s="3"/>
      <c r="Z525" s="3"/>
      <c r="AG525" s="2"/>
      <c r="AH525" s="2"/>
      <c r="AI525" s="2"/>
    </row>
    <row r="526" spans="1:35" ht="15.75">
      <c r="A526" s="1"/>
      <c r="R526" s="2"/>
      <c r="S526" s="2"/>
      <c r="X526" s="3"/>
      <c r="Y526" s="3"/>
      <c r="Z526" s="3"/>
      <c r="AG526" s="2"/>
      <c r="AH526" s="2"/>
      <c r="AI526" s="2"/>
    </row>
    <row r="527" spans="1:35" ht="15.75">
      <c r="A527" s="1"/>
      <c r="R527" s="2"/>
      <c r="S527" s="2"/>
      <c r="X527" s="3"/>
      <c r="Y527" s="3"/>
      <c r="Z527" s="3"/>
      <c r="AG527" s="2"/>
      <c r="AH527" s="2"/>
      <c r="AI527" s="2"/>
    </row>
    <row r="528" spans="1:35" ht="15.75">
      <c r="A528" s="1"/>
      <c r="R528" s="2"/>
      <c r="S528" s="2"/>
      <c r="X528" s="3"/>
      <c r="Y528" s="3"/>
      <c r="Z528" s="3"/>
      <c r="AG528" s="2"/>
      <c r="AH528" s="2"/>
      <c r="AI528" s="2"/>
    </row>
    <row r="529" spans="1:35" ht="15.75">
      <c r="A529" s="1"/>
      <c r="R529" s="2"/>
      <c r="S529" s="2"/>
      <c r="X529" s="3"/>
      <c r="Y529" s="3"/>
      <c r="Z529" s="3"/>
      <c r="AG529" s="2"/>
      <c r="AH529" s="2"/>
      <c r="AI529" s="2"/>
    </row>
    <row r="530" spans="1:35" ht="15.75">
      <c r="A530" s="1"/>
      <c r="R530" s="2"/>
      <c r="S530" s="2"/>
      <c r="X530" s="3"/>
      <c r="Y530" s="3"/>
      <c r="Z530" s="3"/>
      <c r="AG530" s="2"/>
      <c r="AH530" s="2"/>
      <c r="AI530" s="2"/>
    </row>
    <row r="531" spans="1:35" ht="15.75">
      <c r="A531" s="1"/>
      <c r="R531" s="2"/>
      <c r="S531" s="2"/>
      <c r="X531" s="3"/>
      <c r="Y531" s="3"/>
      <c r="Z531" s="3"/>
      <c r="AG531" s="2"/>
      <c r="AH531" s="2"/>
      <c r="AI531" s="2"/>
    </row>
    <row r="532" spans="1:35" ht="15.75">
      <c r="A532" s="1"/>
      <c r="R532" s="2"/>
      <c r="S532" s="2"/>
      <c r="X532" s="3"/>
      <c r="Y532" s="3"/>
      <c r="Z532" s="3"/>
      <c r="AG532" s="2"/>
      <c r="AH532" s="2"/>
      <c r="AI532" s="2"/>
    </row>
    <row r="533" spans="1:35" ht="15.75">
      <c r="A533" s="1"/>
      <c r="R533" s="2"/>
      <c r="S533" s="2"/>
      <c r="X533" s="3"/>
      <c r="Y533" s="3"/>
      <c r="Z533" s="3"/>
      <c r="AG533" s="2"/>
      <c r="AH533" s="2"/>
      <c r="AI533" s="2"/>
    </row>
    <row r="534" spans="1:35" ht="15.75">
      <c r="A534" s="1"/>
      <c r="R534" s="2"/>
      <c r="S534" s="2"/>
      <c r="X534" s="3"/>
      <c r="Y534" s="3"/>
      <c r="Z534" s="3"/>
      <c r="AG534" s="2"/>
      <c r="AH534" s="2"/>
      <c r="AI534" s="2"/>
    </row>
    <row r="535" spans="1:35" ht="15.75">
      <c r="A535" s="1"/>
      <c r="R535" s="2"/>
      <c r="S535" s="2"/>
      <c r="X535" s="3"/>
      <c r="Y535" s="3"/>
      <c r="Z535" s="3"/>
      <c r="AG535" s="2"/>
      <c r="AH535" s="2"/>
      <c r="AI535" s="2"/>
    </row>
    <row r="536" spans="1:35" ht="15.75">
      <c r="A536" s="1"/>
      <c r="R536" s="2"/>
      <c r="S536" s="2"/>
      <c r="X536" s="3"/>
      <c r="Y536" s="3"/>
      <c r="Z536" s="3"/>
      <c r="AG536" s="2"/>
      <c r="AH536" s="2"/>
      <c r="AI536" s="2"/>
    </row>
    <row r="537" spans="1:35" ht="15.75">
      <c r="A537" s="1"/>
      <c r="R537" s="2"/>
      <c r="S537" s="2"/>
      <c r="X537" s="3"/>
      <c r="Y537" s="3"/>
      <c r="Z537" s="3"/>
      <c r="AG537" s="2"/>
      <c r="AH537" s="2"/>
      <c r="AI537" s="2"/>
    </row>
    <row r="538" spans="1:35" ht="15.75">
      <c r="A538" s="1"/>
      <c r="R538" s="2"/>
      <c r="S538" s="2"/>
      <c r="X538" s="3"/>
      <c r="Y538" s="3"/>
      <c r="Z538" s="3"/>
      <c r="AG538" s="2"/>
      <c r="AH538" s="2"/>
      <c r="AI538" s="2"/>
    </row>
    <row r="539" spans="1:35" ht="15.75">
      <c r="A539" s="1"/>
      <c r="R539" s="2"/>
      <c r="S539" s="2"/>
      <c r="X539" s="3"/>
      <c r="Y539" s="3"/>
      <c r="Z539" s="3"/>
      <c r="AG539" s="2"/>
      <c r="AH539" s="2"/>
      <c r="AI539" s="2"/>
    </row>
    <row r="540" spans="1:35" ht="15.75">
      <c r="A540" s="1"/>
      <c r="R540" s="2"/>
      <c r="S540" s="2"/>
      <c r="X540" s="3"/>
      <c r="Y540" s="3"/>
      <c r="Z540" s="3"/>
      <c r="AG540" s="2"/>
      <c r="AH540" s="2"/>
      <c r="AI540" s="2"/>
    </row>
    <row r="541" spans="1:35" ht="15.75">
      <c r="A541" s="1"/>
      <c r="R541" s="2"/>
      <c r="S541" s="2"/>
      <c r="X541" s="3"/>
      <c r="Y541" s="3"/>
      <c r="Z541" s="3"/>
      <c r="AG541" s="2"/>
      <c r="AH541" s="2"/>
      <c r="AI541" s="2"/>
    </row>
    <row r="542" spans="1:35" ht="15.75">
      <c r="A542" s="1"/>
      <c r="R542" s="2"/>
      <c r="S542" s="2"/>
      <c r="X542" s="3"/>
      <c r="Y542" s="3"/>
      <c r="Z542" s="3"/>
      <c r="AG542" s="2"/>
      <c r="AH542" s="2"/>
      <c r="AI542" s="2"/>
    </row>
    <row r="543" spans="1:35" ht="15.75">
      <c r="A543" s="1"/>
      <c r="R543" s="2"/>
      <c r="S543" s="2"/>
      <c r="X543" s="3"/>
      <c r="Y543" s="3"/>
      <c r="Z543" s="3"/>
      <c r="AG543" s="2"/>
      <c r="AH543" s="2"/>
      <c r="AI543" s="2"/>
    </row>
    <row r="544" spans="1:35" ht="15.75">
      <c r="A544" s="1"/>
      <c r="R544" s="2"/>
      <c r="S544" s="2"/>
      <c r="X544" s="3"/>
      <c r="Y544" s="3"/>
      <c r="Z544" s="3"/>
      <c r="AG544" s="2"/>
      <c r="AH544" s="2"/>
      <c r="AI544" s="2"/>
    </row>
    <row r="545" spans="1:35" ht="15.75">
      <c r="A545" s="1"/>
      <c r="R545" s="2"/>
      <c r="S545" s="2"/>
      <c r="X545" s="3"/>
      <c r="Y545" s="3"/>
      <c r="Z545" s="3"/>
      <c r="AG545" s="2"/>
      <c r="AH545" s="2"/>
      <c r="AI545" s="2"/>
    </row>
    <row r="546" spans="1:35" ht="15.75">
      <c r="A546" s="1"/>
      <c r="R546" s="2"/>
      <c r="S546" s="2"/>
      <c r="X546" s="3"/>
      <c r="Y546" s="3"/>
      <c r="Z546" s="3"/>
      <c r="AG546" s="2"/>
      <c r="AH546" s="2"/>
      <c r="AI546" s="2"/>
    </row>
    <row r="547" spans="1:35" ht="15.75">
      <c r="A547" s="1"/>
      <c r="R547" s="2"/>
      <c r="S547" s="2"/>
      <c r="X547" s="3"/>
      <c r="Y547" s="3"/>
      <c r="Z547" s="3"/>
      <c r="AG547" s="2"/>
      <c r="AH547" s="2"/>
      <c r="AI547" s="2"/>
    </row>
    <row r="548" spans="1:35" ht="15.75">
      <c r="A548" s="1"/>
      <c r="R548" s="2"/>
      <c r="S548" s="2"/>
      <c r="X548" s="3"/>
      <c r="Y548" s="3"/>
      <c r="Z548" s="3"/>
      <c r="AG548" s="2"/>
      <c r="AH548" s="2"/>
      <c r="AI548" s="2"/>
    </row>
    <row r="549" spans="1:35" ht="15.75">
      <c r="A549" s="1"/>
      <c r="R549" s="2"/>
      <c r="S549" s="2"/>
      <c r="X549" s="3"/>
      <c r="Y549" s="3"/>
      <c r="Z549" s="3"/>
      <c r="AG549" s="2"/>
      <c r="AH549" s="2"/>
      <c r="AI549" s="2"/>
    </row>
    <row r="550" spans="1:35" ht="15.75">
      <c r="A550" s="1"/>
      <c r="R550" s="2"/>
      <c r="S550" s="2"/>
      <c r="X550" s="3"/>
      <c r="Y550" s="3"/>
      <c r="Z550" s="3"/>
      <c r="AG550" s="2"/>
      <c r="AH550" s="2"/>
      <c r="AI550" s="2"/>
    </row>
    <row r="551" spans="1:35" ht="15.75">
      <c r="A551" s="1"/>
      <c r="R551" s="2"/>
      <c r="S551" s="2"/>
      <c r="X551" s="3"/>
      <c r="Y551" s="3"/>
      <c r="Z551" s="3"/>
      <c r="AG551" s="2"/>
      <c r="AH551" s="2"/>
      <c r="AI551" s="2"/>
    </row>
    <row r="552" spans="1:35" ht="15.75">
      <c r="A552" s="1"/>
      <c r="R552" s="2"/>
      <c r="S552" s="2"/>
      <c r="X552" s="3"/>
      <c r="Y552" s="3"/>
      <c r="Z552" s="3"/>
      <c r="AG552" s="2"/>
      <c r="AH552" s="2"/>
      <c r="AI552" s="2"/>
    </row>
    <row r="553" spans="1:35" ht="15.75">
      <c r="A553" s="1"/>
      <c r="R553" s="2"/>
      <c r="S553" s="2"/>
      <c r="X553" s="3"/>
      <c r="Y553" s="3"/>
      <c r="Z553" s="3"/>
      <c r="AG553" s="2"/>
      <c r="AH553" s="2"/>
      <c r="AI553" s="2"/>
    </row>
    <row r="554" spans="1:35" ht="15.75">
      <c r="A554" s="1"/>
      <c r="R554" s="2"/>
      <c r="S554" s="2"/>
      <c r="X554" s="3"/>
      <c r="Y554" s="3"/>
      <c r="Z554" s="3"/>
      <c r="AG554" s="2"/>
      <c r="AH554" s="2"/>
      <c r="AI554" s="2"/>
    </row>
    <row r="555" spans="1:35" ht="15.75">
      <c r="A555" s="1"/>
      <c r="R555" s="2"/>
      <c r="S555" s="2"/>
      <c r="X555" s="3"/>
      <c r="Y555" s="3"/>
      <c r="Z555" s="3"/>
      <c r="AG555" s="2"/>
      <c r="AH555" s="2"/>
      <c r="AI555" s="2"/>
    </row>
    <row r="556" spans="1:35" ht="15.75">
      <c r="A556" s="1"/>
      <c r="R556" s="2"/>
      <c r="S556" s="2"/>
      <c r="X556" s="3"/>
      <c r="Y556" s="3"/>
      <c r="Z556" s="3"/>
      <c r="AG556" s="2"/>
      <c r="AH556" s="2"/>
      <c r="AI556" s="2"/>
    </row>
    <row r="557" spans="1:35" ht="15.75">
      <c r="A557" s="1"/>
      <c r="R557" s="2"/>
      <c r="S557" s="2"/>
      <c r="X557" s="3"/>
      <c r="Y557" s="3"/>
      <c r="Z557" s="3"/>
      <c r="AG557" s="2"/>
      <c r="AH557" s="2"/>
      <c r="AI557" s="2"/>
    </row>
    <row r="558" spans="1:35" ht="15.75">
      <c r="A558" s="1"/>
      <c r="R558" s="2"/>
      <c r="S558" s="2"/>
      <c r="X558" s="3"/>
      <c r="Y558" s="3"/>
      <c r="Z558" s="3"/>
      <c r="AG558" s="2"/>
      <c r="AH558" s="2"/>
      <c r="AI558" s="2"/>
    </row>
    <row r="559" spans="1:35" ht="15.75">
      <c r="A559" s="1"/>
      <c r="R559" s="2"/>
      <c r="S559" s="2"/>
      <c r="X559" s="3"/>
      <c r="Y559" s="3"/>
      <c r="Z559" s="3"/>
      <c r="AG559" s="2"/>
      <c r="AH559" s="2"/>
      <c r="AI559" s="2"/>
    </row>
    <row r="560" spans="1:35" ht="15.75">
      <c r="A560" s="1"/>
      <c r="R560" s="2"/>
      <c r="S560" s="2"/>
      <c r="X560" s="3"/>
      <c r="Y560" s="3"/>
      <c r="Z560" s="3"/>
      <c r="AG560" s="2"/>
      <c r="AH560" s="2"/>
      <c r="AI560" s="2"/>
    </row>
    <row r="561" spans="1:35" ht="15.75">
      <c r="A561" s="1"/>
      <c r="R561" s="2"/>
      <c r="S561" s="2"/>
      <c r="X561" s="3"/>
      <c r="Y561" s="3"/>
      <c r="Z561" s="3"/>
      <c r="AG561" s="2"/>
      <c r="AH561" s="2"/>
      <c r="AI561" s="2"/>
    </row>
    <row r="562" spans="1:35" ht="15.75">
      <c r="A562" s="1"/>
      <c r="R562" s="2"/>
      <c r="S562" s="2"/>
      <c r="X562" s="3"/>
      <c r="Y562" s="3"/>
      <c r="Z562" s="3"/>
      <c r="AG562" s="2"/>
      <c r="AH562" s="2"/>
      <c r="AI562" s="2"/>
    </row>
    <row r="563" spans="1:35" ht="15.75">
      <c r="A563" s="1"/>
      <c r="R563" s="2"/>
      <c r="S563" s="2"/>
      <c r="X563" s="3"/>
      <c r="Y563" s="3"/>
      <c r="Z563" s="3"/>
      <c r="AG563" s="2"/>
      <c r="AH563" s="2"/>
      <c r="AI563" s="2"/>
    </row>
    <row r="564" spans="1:35" ht="15.75">
      <c r="A564" s="1"/>
      <c r="R564" s="2"/>
      <c r="S564" s="2"/>
      <c r="X564" s="3"/>
      <c r="Y564" s="3"/>
      <c r="Z564" s="3"/>
      <c r="AG564" s="2"/>
      <c r="AH564" s="2"/>
      <c r="AI564" s="2"/>
    </row>
    <row r="565" spans="1:35" ht="15.75">
      <c r="A565" s="1"/>
      <c r="R565" s="2"/>
      <c r="S565" s="2"/>
      <c r="X565" s="3"/>
      <c r="Y565" s="3"/>
      <c r="Z565" s="3"/>
      <c r="AG565" s="2"/>
      <c r="AH565" s="2"/>
      <c r="AI565" s="2"/>
    </row>
    <row r="566" spans="1:35" ht="15.75">
      <c r="A566" s="1"/>
      <c r="R566" s="2"/>
      <c r="S566" s="2"/>
      <c r="X566" s="3"/>
      <c r="Y566" s="3"/>
      <c r="Z566" s="3"/>
      <c r="AG566" s="2"/>
      <c r="AH566" s="2"/>
      <c r="AI566" s="2"/>
    </row>
    <row r="567" spans="1:35" ht="15.75">
      <c r="A567" s="1"/>
      <c r="R567" s="2"/>
      <c r="S567" s="2"/>
      <c r="X567" s="3"/>
      <c r="Y567" s="3"/>
      <c r="Z567" s="3"/>
      <c r="AG567" s="2"/>
      <c r="AH567" s="2"/>
      <c r="AI567" s="2"/>
    </row>
    <row r="568" spans="1:35" ht="15.75">
      <c r="A568" s="1"/>
      <c r="R568" s="2"/>
      <c r="S568" s="2"/>
      <c r="X568" s="3"/>
      <c r="Y568" s="3"/>
      <c r="Z568" s="3"/>
      <c r="AG568" s="2"/>
      <c r="AH568" s="2"/>
      <c r="AI568" s="2"/>
    </row>
    <row r="569" spans="1:35" ht="15.75">
      <c r="A569" s="1"/>
      <c r="R569" s="2"/>
      <c r="S569" s="2"/>
      <c r="X569" s="3"/>
      <c r="Y569" s="3"/>
      <c r="Z569" s="3"/>
      <c r="AG569" s="2"/>
      <c r="AH569" s="2"/>
      <c r="AI569" s="2"/>
    </row>
    <row r="570" spans="1:35" ht="15.75">
      <c r="A570" s="1"/>
      <c r="R570" s="2"/>
      <c r="S570" s="2"/>
      <c r="X570" s="3"/>
      <c r="Y570" s="3"/>
      <c r="Z570" s="3"/>
      <c r="AG570" s="2"/>
      <c r="AH570" s="2"/>
      <c r="AI570" s="2"/>
    </row>
    <row r="571" spans="1:35" ht="15.75">
      <c r="A571" s="1"/>
      <c r="R571" s="2"/>
      <c r="S571" s="2"/>
      <c r="X571" s="3"/>
      <c r="Y571" s="3"/>
      <c r="Z571" s="3"/>
      <c r="AG571" s="2"/>
      <c r="AH571" s="2"/>
      <c r="AI571" s="2"/>
    </row>
    <row r="572" spans="1:35" ht="15.75">
      <c r="A572" s="1"/>
      <c r="R572" s="2"/>
      <c r="S572" s="2"/>
      <c r="X572" s="3"/>
      <c r="Y572" s="3"/>
      <c r="Z572" s="3"/>
      <c r="AG572" s="2"/>
      <c r="AH572" s="2"/>
      <c r="AI572" s="2"/>
    </row>
    <row r="573" spans="1:35" ht="15.75">
      <c r="A573" s="1"/>
      <c r="R573" s="2"/>
      <c r="S573" s="2"/>
      <c r="X573" s="3"/>
      <c r="Y573" s="3"/>
      <c r="Z573" s="3"/>
      <c r="AG573" s="2"/>
      <c r="AH573" s="2"/>
      <c r="AI573" s="2"/>
    </row>
    <row r="574" spans="1:35" ht="15.75">
      <c r="A574" s="1"/>
      <c r="R574" s="2"/>
      <c r="S574" s="2"/>
      <c r="X574" s="3"/>
      <c r="Y574" s="3"/>
      <c r="Z574" s="3"/>
      <c r="AG574" s="2"/>
      <c r="AH574" s="2"/>
      <c r="AI574" s="2"/>
    </row>
    <row r="575" spans="1:35" ht="15.75">
      <c r="A575" s="1"/>
      <c r="R575" s="2"/>
      <c r="S575" s="2"/>
      <c r="X575" s="3"/>
      <c r="Y575" s="3"/>
      <c r="Z575" s="3"/>
      <c r="AG575" s="2"/>
      <c r="AH575" s="2"/>
      <c r="AI575" s="2"/>
    </row>
    <row r="576" spans="1:35" ht="15.75">
      <c r="A576" s="1"/>
      <c r="R576" s="2"/>
      <c r="S576" s="2"/>
      <c r="X576" s="3"/>
      <c r="Y576" s="3"/>
      <c r="Z576" s="3"/>
      <c r="AG576" s="2"/>
      <c r="AH576" s="2"/>
      <c r="AI576" s="2"/>
    </row>
    <row r="577" spans="1:35" ht="15.75">
      <c r="A577" s="1"/>
      <c r="R577" s="2"/>
      <c r="S577" s="2"/>
      <c r="X577" s="3"/>
      <c r="Y577" s="3"/>
      <c r="Z577" s="3"/>
      <c r="AG577" s="2"/>
      <c r="AH577" s="2"/>
      <c r="AI577" s="2"/>
    </row>
    <row r="578" spans="1:35" ht="15.75">
      <c r="A578" s="1"/>
      <c r="R578" s="2"/>
      <c r="S578" s="2"/>
      <c r="X578" s="3"/>
      <c r="Y578" s="3"/>
      <c r="Z578" s="3"/>
      <c r="AG578" s="2"/>
      <c r="AH578" s="2"/>
      <c r="AI578" s="2"/>
    </row>
    <row r="579" spans="1:35" ht="15.75">
      <c r="A579" s="1"/>
      <c r="R579" s="2"/>
      <c r="S579" s="2"/>
      <c r="X579" s="3"/>
      <c r="Y579" s="3"/>
      <c r="Z579" s="3"/>
      <c r="AG579" s="2"/>
      <c r="AH579" s="2"/>
      <c r="AI579" s="2"/>
    </row>
    <row r="580" spans="1:35" ht="15.75">
      <c r="A580" s="1"/>
      <c r="R580" s="2"/>
      <c r="S580" s="2"/>
      <c r="X580" s="3"/>
      <c r="Y580" s="3"/>
      <c r="Z580" s="3"/>
      <c r="AG580" s="2"/>
      <c r="AH580" s="2"/>
      <c r="AI580" s="2"/>
    </row>
    <row r="581" spans="1:35" ht="15.75">
      <c r="A581" s="1"/>
      <c r="R581" s="2"/>
      <c r="S581" s="2"/>
      <c r="X581" s="3"/>
      <c r="Y581" s="3"/>
      <c r="Z581" s="3"/>
      <c r="AG581" s="2"/>
      <c r="AH581" s="2"/>
      <c r="AI581" s="2"/>
    </row>
    <row r="582" spans="1:35" ht="15.75">
      <c r="A582" s="1"/>
      <c r="R582" s="2"/>
      <c r="S582" s="2"/>
      <c r="X582" s="3"/>
      <c r="Y582" s="3"/>
      <c r="Z582" s="3"/>
      <c r="AG582" s="2"/>
      <c r="AH582" s="2"/>
      <c r="AI582" s="2"/>
    </row>
    <row r="583" spans="1:35" ht="15.75">
      <c r="A583" s="1"/>
      <c r="R583" s="2"/>
      <c r="S583" s="2"/>
      <c r="X583" s="3"/>
      <c r="Y583" s="3"/>
      <c r="Z583" s="3"/>
      <c r="AG583" s="2"/>
      <c r="AH583" s="2"/>
      <c r="AI583" s="2"/>
    </row>
    <row r="584" spans="1:35" ht="15.75">
      <c r="A584" s="1"/>
      <c r="R584" s="2"/>
      <c r="S584" s="2"/>
      <c r="X584" s="3"/>
      <c r="Y584" s="3"/>
      <c r="Z584" s="3"/>
      <c r="AG584" s="2"/>
      <c r="AH584" s="2"/>
      <c r="AI584" s="2"/>
    </row>
    <row r="585" spans="1:35" ht="15.75">
      <c r="A585" s="1"/>
      <c r="R585" s="2"/>
      <c r="S585" s="2"/>
      <c r="X585" s="3"/>
      <c r="Y585" s="3"/>
      <c r="Z585" s="3"/>
      <c r="AG585" s="2"/>
      <c r="AH585" s="2"/>
      <c r="AI585" s="2"/>
    </row>
    <row r="586" spans="1:35" ht="15.75">
      <c r="A586" s="1"/>
      <c r="R586" s="2"/>
      <c r="S586" s="2"/>
      <c r="X586" s="3"/>
      <c r="Y586" s="3"/>
      <c r="Z586" s="3"/>
      <c r="AG586" s="2"/>
      <c r="AH586" s="2"/>
      <c r="AI586" s="2"/>
    </row>
    <row r="587" spans="1:35" ht="15.75">
      <c r="A587" s="1"/>
      <c r="R587" s="2"/>
      <c r="S587" s="2"/>
      <c r="X587" s="3"/>
      <c r="Y587" s="3"/>
      <c r="Z587" s="3"/>
      <c r="AG587" s="2"/>
      <c r="AH587" s="2"/>
      <c r="AI587" s="2"/>
    </row>
    <row r="588" spans="1:35" ht="15.75">
      <c r="A588" s="1"/>
      <c r="R588" s="2"/>
      <c r="S588" s="2"/>
      <c r="X588" s="3"/>
      <c r="Y588" s="3"/>
      <c r="Z588" s="3"/>
      <c r="AG588" s="2"/>
      <c r="AH588" s="2"/>
      <c r="AI588" s="2"/>
    </row>
    <row r="589" spans="1:35" ht="15.75">
      <c r="A589" s="1"/>
      <c r="R589" s="2"/>
      <c r="S589" s="2"/>
      <c r="X589" s="3"/>
      <c r="Y589" s="3"/>
      <c r="Z589" s="3"/>
      <c r="AG589" s="2"/>
      <c r="AH589" s="2"/>
      <c r="AI589" s="2"/>
    </row>
    <row r="590" spans="1:35" ht="15.75">
      <c r="A590" s="1"/>
      <c r="R590" s="2"/>
      <c r="S590" s="2"/>
      <c r="X590" s="3"/>
      <c r="Y590" s="3"/>
      <c r="Z590" s="3"/>
      <c r="AG590" s="2"/>
      <c r="AH590" s="2"/>
      <c r="AI590" s="2"/>
    </row>
    <row r="591" spans="1:35" ht="15.75">
      <c r="A591" s="1"/>
      <c r="R591" s="2"/>
      <c r="S591" s="2"/>
      <c r="X591" s="3"/>
      <c r="Y591" s="3"/>
      <c r="Z591" s="3"/>
      <c r="AG591" s="2"/>
      <c r="AH591" s="2"/>
      <c r="AI591" s="2"/>
    </row>
    <row r="592" spans="1:35" ht="15.75">
      <c r="A592" s="1"/>
      <c r="R592" s="2"/>
      <c r="S592" s="2"/>
      <c r="X592" s="3"/>
      <c r="Y592" s="3"/>
      <c r="Z592" s="3"/>
      <c r="AG592" s="2"/>
      <c r="AH592" s="2"/>
      <c r="AI592" s="2"/>
    </row>
    <row r="593" spans="1:35" ht="15.75">
      <c r="A593" s="1"/>
      <c r="R593" s="2"/>
      <c r="S593" s="2"/>
      <c r="X593" s="3"/>
      <c r="Y593" s="3"/>
      <c r="Z593" s="3"/>
      <c r="AG593" s="2"/>
      <c r="AH593" s="2"/>
      <c r="AI593" s="2"/>
    </row>
    <row r="594" spans="1:35" ht="15.75">
      <c r="A594" s="1"/>
      <c r="R594" s="2"/>
      <c r="S594" s="2"/>
      <c r="X594" s="3"/>
      <c r="Y594" s="3"/>
      <c r="Z594" s="3"/>
      <c r="AG594" s="2"/>
      <c r="AH594" s="2"/>
      <c r="AI594" s="2"/>
    </row>
    <row r="595" spans="1:35" ht="15.75">
      <c r="A595" s="1"/>
      <c r="R595" s="2"/>
      <c r="S595" s="2"/>
      <c r="X595" s="3"/>
      <c r="Y595" s="3"/>
      <c r="Z595" s="3"/>
      <c r="AG595" s="2"/>
      <c r="AH595" s="2"/>
      <c r="AI595" s="2"/>
    </row>
    <row r="596" spans="1:35" ht="15.75">
      <c r="A596" s="1"/>
      <c r="R596" s="2"/>
      <c r="S596" s="2"/>
      <c r="X596" s="3"/>
      <c r="Y596" s="3"/>
      <c r="Z596" s="3"/>
      <c r="AG596" s="2"/>
      <c r="AH596" s="2"/>
      <c r="AI596" s="2"/>
    </row>
    <row r="597" spans="1:35" ht="15.75">
      <c r="A597" s="1"/>
      <c r="R597" s="2"/>
      <c r="S597" s="2"/>
      <c r="X597" s="3"/>
      <c r="Y597" s="3"/>
      <c r="Z597" s="3"/>
      <c r="AG597" s="2"/>
      <c r="AH597" s="2"/>
      <c r="AI597" s="2"/>
    </row>
    <row r="598" spans="1:35" ht="15.75">
      <c r="A598" s="1"/>
      <c r="R598" s="2"/>
      <c r="S598" s="2"/>
      <c r="X598" s="3"/>
      <c r="Y598" s="3"/>
      <c r="Z598" s="3"/>
      <c r="AG598" s="2"/>
      <c r="AH598" s="2"/>
      <c r="AI598" s="2"/>
    </row>
    <row r="599" spans="1:35" ht="15.75">
      <c r="A599" s="1"/>
      <c r="R599" s="2"/>
      <c r="S599" s="2"/>
      <c r="X599" s="3"/>
      <c r="Y599" s="3"/>
      <c r="Z599" s="3"/>
      <c r="AG599" s="2"/>
      <c r="AH599" s="2"/>
      <c r="AI599" s="2"/>
    </row>
    <row r="600" spans="1:35" ht="15.75">
      <c r="A600" s="1"/>
      <c r="R600" s="2"/>
      <c r="S600" s="2"/>
      <c r="X600" s="3"/>
      <c r="Y600" s="3"/>
      <c r="Z600" s="3"/>
      <c r="AG600" s="2"/>
      <c r="AH600" s="2"/>
      <c r="AI600" s="2"/>
    </row>
    <row r="601" spans="1:35" ht="15.75">
      <c r="A601" s="1"/>
      <c r="R601" s="2"/>
      <c r="S601" s="2"/>
      <c r="X601" s="3"/>
      <c r="Y601" s="3"/>
      <c r="Z601" s="3"/>
      <c r="AG601" s="2"/>
      <c r="AH601" s="2"/>
      <c r="AI601" s="2"/>
    </row>
    <row r="602" spans="1:35" ht="15.75">
      <c r="A602" s="1"/>
      <c r="R602" s="2"/>
      <c r="S602" s="2"/>
      <c r="X602" s="3"/>
      <c r="Y602" s="3"/>
      <c r="Z602" s="3"/>
      <c r="AG602" s="2"/>
      <c r="AH602" s="2"/>
      <c r="AI602" s="2"/>
    </row>
    <row r="603" spans="1:35" ht="15.75">
      <c r="A603" s="1"/>
      <c r="R603" s="2"/>
      <c r="S603" s="2"/>
      <c r="X603" s="3"/>
      <c r="Y603" s="3"/>
      <c r="Z603" s="3"/>
      <c r="AG603" s="2"/>
      <c r="AH603" s="2"/>
      <c r="AI603" s="2"/>
    </row>
    <row r="604" spans="1:35" ht="15.75">
      <c r="A604" s="1"/>
      <c r="R604" s="2"/>
      <c r="S604" s="2"/>
      <c r="X604" s="3"/>
      <c r="Y604" s="3"/>
      <c r="Z604" s="3"/>
      <c r="AG604" s="2"/>
      <c r="AH604" s="2"/>
      <c r="AI604" s="2"/>
    </row>
    <row r="605" spans="1:35" ht="15.75">
      <c r="A605" s="1"/>
      <c r="R605" s="2"/>
      <c r="S605" s="2"/>
      <c r="X605" s="3"/>
      <c r="Y605" s="3"/>
      <c r="Z605" s="3"/>
      <c r="AG605" s="2"/>
      <c r="AH605" s="2"/>
      <c r="AI605" s="2"/>
    </row>
    <row r="606" spans="1:35" ht="15.75">
      <c r="A606" s="1"/>
      <c r="R606" s="2"/>
      <c r="S606" s="2"/>
      <c r="X606" s="3"/>
      <c r="Y606" s="3"/>
      <c r="Z606" s="3"/>
      <c r="AG606" s="2"/>
      <c r="AH606" s="2"/>
      <c r="AI606" s="2"/>
    </row>
    <row r="607" spans="1:35" ht="15.75">
      <c r="A607" s="1"/>
      <c r="R607" s="2"/>
      <c r="S607" s="2"/>
      <c r="X607" s="3"/>
      <c r="Y607" s="3"/>
      <c r="Z607" s="3"/>
      <c r="AG607" s="2"/>
      <c r="AH607" s="2"/>
      <c r="AI607" s="2"/>
    </row>
    <row r="608" spans="1:35" ht="15.75">
      <c r="A608" s="1"/>
      <c r="R608" s="2"/>
      <c r="S608" s="2"/>
      <c r="X608" s="3"/>
      <c r="Y608" s="3"/>
      <c r="Z608" s="3"/>
      <c r="AG608" s="2"/>
      <c r="AH608" s="2"/>
      <c r="AI608" s="2"/>
    </row>
    <row r="609" spans="1:35" ht="15.75">
      <c r="A609" s="1"/>
      <c r="R609" s="2"/>
      <c r="S609" s="2"/>
      <c r="X609" s="3"/>
      <c r="Y609" s="3"/>
      <c r="Z609" s="3"/>
      <c r="AG609" s="2"/>
      <c r="AH609" s="2"/>
      <c r="AI609" s="2"/>
    </row>
    <row r="610" spans="1:35" ht="15.75">
      <c r="A610" s="1"/>
      <c r="R610" s="2"/>
      <c r="S610" s="2"/>
      <c r="X610" s="3"/>
      <c r="Y610" s="3"/>
      <c r="Z610" s="3"/>
      <c r="AG610" s="2"/>
      <c r="AH610" s="2"/>
      <c r="AI610" s="2"/>
    </row>
    <row r="611" spans="1:35" ht="15.75">
      <c r="A611" s="1"/>
      <c r="R611" s="2"/>
      <c r="S611" s="2"/>
      <c r="X611" s="3"/>
      <c r="Y611" s="3"/>
      <c r="Z611" s="3"/>
      <c r="AG611" s="2"/>
      <c r="AH611" s="2"/>
      <c r="AI611" s="2"/>
    </row>
    <row r="612" spans="1:35" ht="15.75">
      <c r="A612" s="1"/>
      <c r="R612" s="2"/>
      <c r="S612" s="2"/>
      <c r="X612" s="3"/>
      <c r="Y612" s="3"/>
      <c r="Z612" s="3"/>
      <c r="AG612" s="2"/>
      <c r="AH612" s="2"/>
      <c r="AI612" s="2"/>
    </row>
    <row r="613" spans="1:35" ht="15.75">
      <c r="A613" s="1"/>
      <c r="R613" s="2"/>
      <c r="S613" s="2"/>
      <c r="X613" s="3"/>
      <c r="Y613" s="3"/>
      <c r="Z613" s="3"/>
      <c r="AG613" s="2"/>
      <c r="AH613" s="2"/>
      <c r="AI613" s="2"/>
    </row>
    <row r="614" spans="1:35" ht="15.75">
      <c r="A614" s="1"/>
      <c r="R614" s="2"/>
      <c r="S614" s="2"/>
      <c r="X614" s="3"/>
      <c r="Y614" s="3"/>
      <c r="Z614" s="3"/>
      <c r="AG614" s="2"/>
      <c r="AH614" s="2"/>
      <c r="AI614" s="2"/>
    </row>
    <row r="615" spans="1:35" ht="15.75">
      <c r="A615" s="1"/>
      <c r="R615" s="2"/>
      <c r="S615" s="2"/>
      <c r="X615" s="3"/>
      <c r="Y615" s="3"/>
      <c r="Z615" s="3"/>
      <c r="AG615" s="2"/>
      <c r="AH615" s="2"/>
      <c r="AI615" s="2"/>
    </row>
    <row r="616" spans="1:35" ht="15.75">
      <c r="A616" s="1"/>
      <c r="R616" s="2"/>
      <c r="S616" s="2"/>
      <c r="X616" s="3"/>
      <c r="Y616" s="3"/>
      <c r="Z616" s="3"/>
      <c r="AG616" s="2"/>
      <c r="AH616" s="2"/>
      <c r="AI616" s="2"/>
    </row>
    <row r="617" spans="1:35" ht="15.75">
      <c r="A617" s="1"/>
      <c r="R617" s="2"/>
      <c r="S617" s="2"/>
      <c r="X617" s="3"/>
      <c r="Y617" s="3"/>
      <c r="Z617" s="3"/>
      <c r="AG617" s="2"/>
      <c r="AH617" s="2"/>
      <c r="AI617" s="2"/>
    </row>
    <row r="618" spans="1:35" ht="15.75">
      <c r="A618" s="1"/>
      <c r="R618" s="2"/>
      <c r="S618" s="2"/>
      <c r="X618" s="3"/>
      <c r="Y618" s="3"/>
      <c r="Z618" s="3"/>
      <c r="AG618" s="2"/>
      <c r="AH618" s="2"/>
      <c r="AI618" s="2"/>
    </row>
    <row r="619" spans="1:35" ht="15.75">
      <c r="A619" s="1"/>
      <c r="R619" s="2"/>
      <c r="S619" s="2"/>
      <c r="X619" s="3"/>
      <c r="Y619" s="3"/>
      <c r="Z619" s="3"/>
      <c r="AG619" s="2"/>
      <c r="AH619" s="2"/>
      <c r="AI619" s="2"/>
    </row>
    <row r="620" spans="1:35" ht="15.75">
      <c r="A620" s="1"/>
      <c r="R620" s="2"/>
      <c r="S620" s="2"/>
      <c r="X620" s="3"/>
      <c r="Y620" s="3"/>
      <c r="Z620" s="3"/>
      <c r="AG620" s="2"/>
      <c r="AH620" s="2"/>
      <c r="AI620" s="2"/>
    </row>
    <row r="621" spans="1:35" ht="15.75">
      <c r="A621" s="1"/>
      <c r="R621" s="2"/>
      <c r="S621" s="2"/>
      <c r="X621" s="3"/>
      <c r="Y621" s="3"/>
      <c r="Z621" s="3"/>
      <c r="AG621" s="2"/>
      <c r="AH621" s="2"/>
      <c r="AI621" s="2"/>
    </row>
    <row r="622" spans="1:35" ht="15.75">
      <c r="A622" s="1"/>
      <c r="R622" s="2"/>
      <c r="S622" s="2"/>
      <c r="X622" s="3"/>
      <c r="Y622" s="3"/>
      <c r="Z622" s="3"/>
      <c r="AG622" s="2"/>
      <c r="AH622" s="2"/>
      <c r="AI622" s="2"/>
    </row>
    <row r="623" spans="1:35" ht="15.75">
      <c r="A623" s="1"/>
      <c r="R623" s="2"/>
      <c r="S623" s="2"/>
      <c r="X623" s="3"/>
      <c r="Y623" s="3"/>
      <c r="Z623" s="3"/>
      <c r="AG623" s="2"/>
      <c r="AH623" s="2"/>
      <c r="AI623" s="2"/>
    </row>
    <row r="624" spans="1:35" ht="15.75">
      <c r="A624" s="1"/>
      <c r="R624" s="2"/>
      <c r="S624" s="2"/>
      <c r="X624" s="3"/>
      <c r="Y624" s="3"/>
      <c r="Z624" s="3"/>
      <c r="AG624" s="2"/>
      <c r="AH624" s="2"/>
      <c r="AI624" s="2"/>
    </row>
    <row r="625" spans="1:35" ht="15.75">
      <c r="A625" s="1"/>
      <c r="R625" s="2"/>
      <c r="S625" s="2"/>
      <c r="X625" s="3"/>
      <c r="Y625" s="3"/>
      <c r="Z625" s="3"/>
      <c r="AG625" s="2"/>
      <c r="AH625" s="2"/>
      <c r="AI625" s="2"/>
    </row>
    <row r="626" spans="1:35" ht="15.75">
      <c r="A626" s="1"/>
      <c r="R626" s="2"/>
      <c r="S626" s="2"/>
      <c r="X626" s="3"/>
      <c r="Y626" s="3"/>
      <c r="Z626" s="3"/>
      <c r="AG626" s="2"/>
      <c r="AH626" s="2"/>
      <c r="AI626" s="2"/>
    </row>
    <row r="627" spans="1:35" ht="15.75">
      <c r="A627" s="1"/>
      <c r="R627" s="2"/>
      <c r="S627" s="2"/>
      <c r="X627" s="3"/>
      <c r="Y627" s="3"/>
      <c r="Z627" s="3"/>
      <c r="AG627" s="2"/>
      <c r="AH627" s="2"/>
      <c r="AI627" s="2"/>
    </row>
    <row r="628" spans="1:35" ht="15.75">
      <c r="A628" s="1"/>
      <c r="R628" s="2"/>
      <c r="S628" s="2"/>
      <c r="X628" s="3"/>
      <c r="Y628" s="3"/>
      <c r="Z628" s="3"/>
      <c r="AG628" s="2"/>
      <c r="AH628" s="2"/>
      <c r="AI628" s="2"/>
    </row>
    <row r="629" spans="1:35" ht="15.75">
      <c r="A629" s="1"/>
      <c r="R629" s="2"/>
      <c r="S629" s="2"/>
      <c r="X629" s="3"/>
      <c r="Y629" s="3"/>
      <c r="Z629" s="3"/>
      <c r="AG629" s="2"/>
      <c r="AH629" s="2"/>
      <c r="AI629" s="2"/>
    </row>
    <row r="630" spans="1:35" ht="15.75">
      <c r="A630" s="1"/>
      <c r="R630" s="2"/>
      <c r="S630" s="2"/>
      <c r="X630" s="3"/>
      <c r="Y630" s="3"/>
      <c r="Z630" s="3"/>
      <c r="AG630" s="2"/>
      <c r="AH630" s="2"/>
      <c r="AI630" s="2"/>
    </row>
    <row r="631" spans="1:35" ht="15.75">
      <c r="A631" s="1"/>
      <c r="R631" s="2"/>
      <c r="S631" s="2"/>
      <c r="X631" s="3"/>
      <c r="Y631" s="3"/>
      <c r="Z631" s="3"/>
      <c r="AG631" s="2"/>
      <c r="AH631" s="2"/>
      <c r="AI631" s="2"/>
    </row>
    <row r="632" spans="1:35" ht="15.75">
      <c r="A632" s="1"/>
      <c r="R632" s="2"/>
      <c r="S632" s="2"/>
      <c r="X632" s="3"/>
      <c r="Y632" s="3"/>
      <c r="Z632" s="3"/>
      <c r="AG632" s="2"/>
      <c r="AH632" s="2"/>
      <c r="AI632" s="2"/>
    </row>
    <row r="633" spans="1:35" ht="15.75">
      <c r="A633" s="1"/>
      <c r="R633" s="2"/>
      <c r="S633" s="2"/>
      <c r="X633" s="3"/>
      <c r="Y633" s="3"/>
      <c r="Z633" s="3"/>
      <c r="AG633" s="2"/>
      <c r="AH633" s="2"/>
      <c r="AI633" s="2"/>
    </row>
    <row r="634" spans="1:35" ht="15.75">
      <c r="A634" s="1"/>
      <c r="R634" s="2"/>
      <c r="S634" s="2"/>
      <c r="X634" s="3"/>
      <c r="Y634" s="3"/>
      <c r="Z634" s="3"/>
      <c r="AG634" s="2"/>
      <c r="AH634" s="2"/>
      <c r="AI634" s="2"/>
    </row>
    <row r="635" spans="1:35" ht="15.75">
      <c r="A635" s="1"/>
      <c r="R635" s="2"/>
      <c r="S635" s="2"/>
      <c r="X635" s="3"/>
      <c r="Y635" s="3"/>
      <c r="Z635" s="3"/>
      <c r="AG635" s="2"/>
      <c r="AH635" s="2"/>
      <c r="AI635" s="2"/>
    </row>
    <row r="636" spans="1:35" ht="15.75">
      <c r="A636" s="1"/>
      <c r="R636" s="2"/>
      <c r="S636" s="2"/>
      <c r="X636" s="3"/>
      <c r="Y636" s="3"/>
      <c r="Z636" s="3"/>
      <c r="AG636" s="2"/>
      <c r="AH636" s="2"/>
      <c r="AI636" s="2"/>
    </row>
    <row r="637" spans="1:35" ht="15.75">
      <c r="A637" s="1"/>
      <c r="R637" s="2"/>
      <c r="S637" s="2"/>
      <c r="X637" s="3"/>
      <c r="Y637" s="3"/>
      <c r="Z637" s="3"/>
      <c r="AG637" s="2"/>
      <c r="AH637" s="2"/>
      <c r="AI637" s="2"/>
    </row>
    <row r="638" spans="1:35" ht="15.75">
      <c r="A638" s="1"/>
      <c r="R638" s="2"/>
      <c r="S638" s="2"/>
      <c r="X638" s="3"/>
      <c r="Y638" s="3"/>
      <c r="Z638" s="3"/>
      <c r="AG638" s="2"/>
      <c r="AH638" s="2"/>
      <c r="AI638" s="2"/>
    </row>
    <row r="639" spans="1:35" ht="15.75">
      <c r="A639" s="1"/>
      <c r="R639" s="2"/>
      <c r="S639" s="2"/>
      <c r="X639" s="3"/>
      <c r="Y639" s="3"/>
      <c r="Z639" s="3"/>
      <c r="AG639" s="2"/>
      <c r="AH639" s="2"/>
      <c r="AI639" s="2"/>
    </row>
    <row r="640" spans="1:35" ht="15.75">
      <c r="A640" s="1"/>
      <c r="R640" s="2"/>
      <c r="S640" s="2"/>
      <c r="X640" s="3"/>
      <c r="Y640" s="3"/>
      <c r="Z640" s="3"/>
      <c r="AG640" s="2"/>
      <c r="AH640" s="2"/>
      <c r="AI640" s="2"/>
    </row>
    <row r="641" spans="1:35" ht="15.75">
      <c r="A641" s="1"/>
      <c r="R641" s="2"/>
      <c r="S641" s="2"/>
      <c r="X641" s="3"/>
      <c r="Y641" s="3"/>
      <c r="Z641" s="3"/>
      <c r="AG641" s="2"/>
      <c r="AH641" s="2"/>
      <c r="AI641" s="2"/>
    </row>
    <row r="642" spans="1:35" ht="15.75">
      <c r="A642" s="1"/>
      <c r="R642" s="2"/>
      <c r="S642" s="2"/>
      <c r="X642" s="3"/>
      <c r="Y642" s="3"/>
      <c r="Z642" s="3"/>
      <c r="AG642" s="2"/>
      <c r="AH642" s="2"/>
      <c r="AI642" s="2"/>
    </row>
    <row r="643" spans="1:35" ht="15.75">
      <c r="A643" s="1"/>
      <c r="R643" s="2"/>
      <c r="S643" s="2"/>
      <c r="X643" s="3"/>
      <c r="Y643" s="3"/>
      <c r="Z643" s="3"/>
      <c r="AG643" s="2"/>
      <c r="AH643" s="2"/>
      <c r="AI643" s="2"/>
    </row>
    <row r="644" spans="1:35" ht="15.75">
      <c r="A644" s="1"/>
      <c r="R644" s="2"/>
      <c r="S644" s="2"/>
      <c r="X644" s="3"/>
      <c r="Y644" s="3"/>
      <c r="Z644" s="3"/>
      <c r="AG644" s="2"/>
      <c r="AH644" s="2"/>
      <c r="AI644" s="2"/>
    </row>
    <row r="645" spans="1:35" ht="15.75">
      <c r="A645" s="1"/>
      <c r="R645" s="2"/>
      <c r="S645" s="2"/>
      <c r="X645" s="3"/>
      <c r="Y645" s="3"/>
      <c r="Z645" s="3"/>
      <c r="AG645" s="2"/>
      <c r="AH645" s="2"/>
      <c r="AI645" s="2"/>
    </row>
    <row r="646" spans="1:35" ht="15.75">
      <c r="A646" s="1"/>
      <c r="R646" s="2"/>
      <c r="S646" s="2"/>
      <c r="X646" s="3"/>
      <c r="Y646" s="3"/>
      <c r="Z646" s="3"/>
      <c r="AG646" s="2"/>
      <c r="AH646" s="2"/>
      <c r="AI646" s="2"/>
    </row>
    <row r="647" spans="1:35" ht="15.75">
      <c r="A647" s="1"/>
      <c r="R647" s="2"/>
      <c r="S647" s="2"/>
      <c r="X647" s="3"/>
      <c r="Y647" s="3"/>
      <c r="Z647" s="3"/>
      <c r="AG647" s="2"/>
      <c r="AH647" s="2"/>
      <c r="AI647" s="2"/>
    </row>
    <row r="648" spans="1:35" ht="15.75">
      <c r="A648" s="1"/>
      <c r="R648" s="2"/>
      <c r="S648" s="2"/>
      <c r="X648" s="3"/>
      <c r="Y648" s="3"/>
      <c r="Z648" s="3"/>
      <c r="AG648" s="2"/>
      <c r="AH648" s="2"/>
      <c r="AI648" s="2"/>
    </row>
    <row r="649" spans="1:35" ht="15.75">
      <c r="A649" s="1"/>
      <c r="R649" s="2"/>
      <c r="S649" s="2"/>
      <c r="X649" s="3"/>
      <c r="Y649" s="3"/>
      <c r="Z649" s="3"/>
      <c r="AG649" s="2"/>
      <c r="AH649" s="2"/>
      <c r="AI649" s="2"/>
    </row>
    <row r="650" spans="1:35" ht="15.75">
      <c r="A650" s="1"/>
      <c r="R650" s="2"/>
      <c r="S650" s="2"/>
      <c r="X650" s="3"/>
      <c r="Y650" s="3"/>
      <c r="Z650" s="3"/>
      <c r="AG650" s="2"/>
      <c r="AH650" s="2"/>
      <c r="AI650" s="2"/>
    </row>
    <row r="651" spans="1:35" ht="15.75">
      <c r="A651" s="1"/>
      <c r="R651" s="2"/>
      <c r="S651" s="2"/>
      <c r="X651" s="3"/>
      <c r="Y651" s="3"/>
      <c r="Z651" s="3"/>
      <c r="AG651" s="2"/>
      <c r="AH651" s="2"/>
      <c r="AI651" s="2"/>
    </row>
    <row r="652" spans="1:35" ht="15.75">
      <c r="A652" s="1"/>
      <c r="R652" s="2"/>
      <c r="S652" s="2"/>
      <c r="X652" s="3"/>
      <c r="Y652" s="3"/>
      <c r="Z652" s="3"/>
      <c r="AG652" s="2"/>
      <c r="AH652" s="2"/>
      <c r="AI652" s="2"/>
    </row>
    <row r="653" spans="1:35" ht="15.75">
      <c r="A653" s="1"/>
      <c r="R653" s="2"/>
      <c r="S653" s="2"/>
      <c r="X653" s="3"/>
      <c r="Y653" s="3"/>
      <c r="Z653" s="3"/>
      <c r="AG653" s="2"/>
      <c r="AH653" s="2"/>
      <c r="AI653" s="2"/>
    </row>
    <row r="654" spans="1:35" ht="15.75">
      <c r="A654" s="1"/>
      <c r="R654" s="2"/>
      <c r="S654" s="2"/>
      <c r="X654" s="3"/>
      <c r="Y654" s="3"/>
      <c r="Z654" s="3"/>
      <c r="AG654" s="2"/>
      <c r="AH654" s="2"/>
      <c r="AI654" s="2"/>
    </row>
    <row r="655" spans="1:35" ht="15.75">
      <c r="A655" s="1"/>
      <c r="R655" s="2"/>
      <c r="S655" s="2"/>
      <c r="X655" s="3"/>
      <c r="Y655" s="3"/>
      <c r="Z655" s="3"/>
      <c r="AG655" s="2"/>
      <c r="AH655" s="2"/>
      <c r="AI655" s="2"/>
    </row>
    <row r="656" spans="1:35" ht="15.75">
      <c r="A656" s="1"/>
      <c r="R656" s="2"/>
      <c r="S656" s="2"/>
      <c r="X656" s="3"/>
      <c r="Y656" s="3"/>
      <c r="Z656" s="3"/>
      <c r="AG656" s="2"/>
      <c r="AH656" s="2"/>
      <c r="AI656" s="2"/>
    </row>
    <row r="657" spans="1:35" ht="15.75">
      <c r="A657" s="1"/>
      <c r="R657" s="2"/>
      <c r="S657" s="2"/>
      <c r="X657" s="3"/>
      <c r="Y657" s="3"/>
      <c r="Z657" s="3"/>
      <c r="AG657" s="2"/>
      <c r="AH657" s="2"/>
      <c r="AI657" s="2"/>
    </row>
    <row r="658" spans="1:35" ht="15.75">
      <c r="A658" s="1"/>
      <c r="R658" s="2"/>
      <c r="S658" s="2"/>
      <c r="X658" s="3"/>
      <c r="Y658" s="3"/>
      <c r="Z658" s="3"/>
      <c r="AG658" s="2"/>
      <c r="AH658" s="2"/>
      <c r="AI658" s="2"/>
    </row>
    <row r="659" spans="1:35" ht="15.75">
      <c r="A659" s="1"/>
      <c r="R659" s="2"/>
      <c r="S659" s="2"/>
      <c r="X659" s="3"/>
      <c r="Y659" s="3"/>
      <c r="Z659" s="3"/>
      <c r="AG659" s="2"/>
      <c r="AH659" s="2"/>
      <c r="AI659" s="2"/>
    </row>
    <row r="660" spans="1:35" ht="15.75">
      <c r="A660" s="1"/>
      <c r="R660" s="2"/>
      <c r="S660" s="2"/>
      <c r="X660" s="3"/>
      <c r="Y660" s="3"/>
      <c r="Z660" s="3"/>
      <c r="AG660" s="2"/>
      <c r="AH660" s="2"/>
      <c r="AI660" s="2"/>
    </row>
    <row r="661" spans="1:35" ht="15.75">
      <c r="A661" s="1"/>
      <c r="R661" s="2"/>
      <c r="S661" s="2"/>
      <c r="X661" s="3"/>
      <c r="Y661" s="3"/>
      <c r="Z661" s="3"/>
      <c r="AG661" s="2"/>
      <c r="AH661" s="2"/>
      <c r="AI661" s="2"/>
    </row>
    <row r="662" spans="1:35" ht="15.75">
      <c r="A662" s="1"/>
      <c r="R662" s="2"/>
      <c r="S662" s="2"/>
      <c r="X662" s="3"/>
      <c r="Y662" s="3"/>
      <c r="Z662" s="3"/>
      <c r="AG662" s="2"/>
      <c r="AH662" s="2"/>
      <c r="AI662" s="2"/>
    </row>
    <row r="663" spans="1:35" ht="15.75">
      <c r="A663" s="1"/>
      <c r="R663" s="2"/>
      <c r="S663" s="2"/>
      <c r="X663" s="3"/>
      <c r="Y663" s="3"/>
      <c r="Z663" s="3"/>
      <c r="AG663" s="2"/>
      <c r="AH663" s="2"/>
      <c r="AI663" s="2"/>
    </row>
    <row r="664" spans="1:35" ht="15.75">
      <c r="A664" s="1"/>
      <c r="R664" s="2"/>
      <c r="S664" s="2"/>
      <c r="X664" s="3"/>
      <c r="Y664" s="3"/>
      <c r="Z664" s="3"/>
      <c r="AG664" s="2"/>
      <c r="AH664" s="2"/>
      <c r="AI664" s="2"/>
    </row>
    <row r="665" spans="1:35" ht="15.75">
      <c r="A665" s="1"/>
      <c r="R665" s="2"/>
      <c r="S665" s="2"/>
      <c r="X665" s="3"/>
      <c r="Y665" s="3"/>
      <c r="Z665" s="3"/>
      <c r="AG665" s="2"/>
      <c r="AH665" s="2"/>
      <c r="AI665" s="2"/>
    </row>
    <row r="666" spans="1:35" ht="15.75">
      <c r="A666" s="1"/>
      <c r="R666" s="2"/>
      <c r="S666" s="2"/>
      <c r="X666" s="3"/>
      <c r="Y666" s="3"/>
      <c r="Z666" s="3"/>
      <c r="AG666" s="2"/>
      <c r="AH666" s="2"/>
      <c r="AI666" s="2"/>
    </row>
    <row r="667" spans="1:35" ht="15.75">
      <c r="A667" s="1"/>
      <c r="R667" s="2"/>
      <c r="S667" s="2"/>
      <c r="X667" s="3"/>
      <c r="Y667" s="3"/>
      <c r="Z667" s="3"/>
      <c r="AG667" s="2"/>
      <c r="AH667" s="2"/>
      <c r="AI667" s="2"/>
    </row>
    <row r="668" spans="1:35" ht="15.75">
      <c r="A668" s="1"/>
      <c r="R668" s="2"/>
      <c r="S668" s="2"/>
      <c r="X668" s="3"/>
      <c r="Y668" s="3"/>
      <c r="Z668" s="3"/>
      <c r="AG668" s="2"/>
      <c r="AH668" s="2"/>
      <c r="AI668" s="2"/>
    </row>
    <row r="669" spans="1:35" ht="15.75">
      <c r="A669" s="1"/>
      <c r="R669" s="2"/>
      <c r="S669" s="2"/>
      <c r="X669" s="3"/>
      <c r="Y669" s="3"/>
      <c r="Z669" s="3"/>
      <c r="AG669" s="2"/>
      <c r="AH669" s="2"/>
      <c r="AI669" s="2"/>
    </row>
    <row r="670" spans="1:35" ht="15.75">
      <c r="A670" s="1"/>
      <c r="R670" s="2"/>
      <c r="S670" s="2"/>
      <c r="X670" s="3"/>
      <c r="Y670" s="3"/>
      <c r="Z670" s="3"/>
      <c r="AG670" s="2"/>
      <c r="AH670" s="2"/>
      <c r="AI670" s="2"/>
    </row>
    <row r="671" spans="1:35" ht="15.75">
      <c r="A671" s="1"/>
      <c r="R671" s="2"/>
      <c r="S671" s="2"/>
      <c r="X671" s="3"/>
      <c r="Y671" s="3"/>
      <c r="Z671" s="3"/>
      <c r="AG671" s="2"/>
      <c r="AH671" s="2"/>
      <c r="AI671" s="2"/>
    </row>
    <row r="672" spans="1:35" ht="15.75">
      <c r="A672" s="1"/>
      <c r="R672" s="2"/>
      <c r="S672" s="2"/>
      <c r="X672" s="3"/>
      <c r="Y672" s="3"/>
      <c r="Z672" s="3"/>
      <c r="AG672" s="2"/>
      <c r="AH672" s="2"/>
      <c r="AI672" s="2"/>
    </row>
    <row r="673" spans="1:35" ht="15.75">
      <c r="A673" s="1"/>
      <c r="R673" s="2"/>
      <c r="S673" s="2"/>
      <c r="X673" s="3"/>
      <c r="Y673" s="3"/>
      <c r="Z673" s="3"/>
      <c r="AG673" s="2"/>
      <c r="AH673" s="2"/>
      <c r="AI673" s="2"/>
    </row>
    <row r="674" spans="1:35" ht="15.75">
      <c r="A674" s="1"/>
      <c r="R674" s="2"/>
      <c r="S674" s="2"/>
      <c r="X674" s="3"/>
      <c r="Y674" s="3"/>
      <c r="Z674" s="3"/>
      <c r="AG674" s="2"/>
      <c r="AH674" s="2"/>
      <c r="AI674" s="2"/>
    </row>
    <row r="675" spans="1:35" ht="15.75">
      <c r="A675" s="1"/>
      <c r="R675" s="2"/>
      <c r="S675" s="2"/>
      <c r="X675" s="3"/>
      <c r="Y675" s="3"/>
      <c r="Z675" s="3"/>
      <c r="AG675" s="2"/>
      <c r="AH675" s="2"/>
      <c r="AI675" s="2"/>
    </row>
    <row r="676" spans="1:35" ht="15.75">
      <c r="A676" s="1"/>
      <c r="R676" s="2"/>
      <c r="S676" s="2"/>
      <c r="X676" s="3"/>
      <c r="Y676" s="3"/>
      <c r="Z676" s="3"/>
      <c r="AG676" s="2"/>
      <c r="AH676" s="2"/>
      <c r="AI676" s="2"/>
    </row>
    <row r="677" spans="1:35" ht="15.75">
      <c r="A677" s="1"/>
      <c r="R677" s="2"/>
      <c r="S677" s="2"/>
      <c r="X677" s="3"/>
      <c r="Y677" s="3"/>
      <c r="Z677" s="3"/>
      <c r="AG677" s="2"/>
      <c r="AH677" s="2"/>
      <c r="AI677" s="2"/>
    </row>
    <row r="678" spans="1:35" ht="15.75">
      <c r="A678" s="1"/>
      <c r="R678" s="2"/>
      <c r="S678" s="2"/>
      <c r="X678" s="3"/>
      <c r="Y678" s="3"/>
      <c r="Z678" s="3"/>
      <c r="AG678" s="2"/>
      <c r="AH678" s="2"/>
      <c r="AI678" s="2"/>
    </row>
    <row r="679" spans="1:35" ht="15.75">
      <c r="A679" s="1"/>
      <c r="R679" s="2"/>
      <c r="S679" s="2"/>
      <c r="X679" s="3"/>
      <c r="Y679" s="3"/>
      <c r="Z679" s="3"/>
      <c r="AG679" s="2"/>
      <c r="AH679" s="2"/>
      <c r="AI679" s="2"/>
    </row>
    <row r="680" spans="1:35" ht="15.75">
      <c r="A680" s="1"/>
      <c r="R680" s="2"/>
      <c r="S680" s="2"/>
      <c r="X680" s="3"/>
      <c r="Y680" s="3"/>
      <c r="Z680" s="3"/>
      <c r="AG680" s="2"/>
      <c r="AH680" s="2"/>
      <c r="AI680" s="2"/>
    </row>
    <row r="681" spans="1:35" ht="15.75">
      <c r="A681" s="1"/>
      <c r="R681" s="2"/>
      <c r="S681" s="2"/>
      <c r="X681" s="3"/>
      <c r="Y681" s="3"/>
      <c r="Z681" s="3"/>
      <c r="AG681" s="2"/>
      <c r="AH681" s="2"/>
      <c r="AI681" s="2"/>
    </row>
    <row r="682" spans="1:35" ht="15.75">
      <c r="A682" s="1"/>
      <c r="R682" s="2"/>
      <c r="S682" s="2"/>
      <c r="X682" s="3"/>
      <c r="Y682" s="3"/>
      <c r="Z682" s="3"/>
      <c r="AG682" s="2"/>
      <c r="AH682" s="2"/>
      <c r="AI682" s="2"/>
    </row>
    <row r="683" spans="1:35" ht="15.75">
      <c r="A683" s="1"/>
      <c r="R683" s="2"/>
      <c r="S683" s="2"/>
      <c r="X683" s="3"/>
      <c r="Y683" s="3"/>
      <c r="Z683" s="3"/>
      <c r="AG683" s="2"/>
      <c r="AH683" s="2"/>
      <c r="AI683" s="2"/>
    </row>
    <row r="684" spans="1:35" ht="15.75">
      <c r="A684" s="1"/>
      <c r="R684" s="2"/>
      <c r="S684" s="2"/>
      <c r="X684" s="3"/>
      <c r="Y684" s="3"/>
      <c r="Z684" s="3"/>
      <c r="AG684" s="2"/>
      <c r="AH684" s="2"/>
      <c r="AI684" s="2"/>
    </row>
    <row r="685" spans="1:35" ht="15.75">
      <c r="A685" s="1"/>
      <c r="R685" s="2"/>
      <c r="S685" s="2"/>
      <c r="X685" s="3"/>
      <c r="Y685" s="3"/>
      <c r="Z685" s="3"/>
      <c r="AG685" s="2"/>
      <c r="AH685" s="2"/>
      <c r="AI685" s="2"/>
    </row>
    <row r="686" spans="1:35" ht="15.75">
      <c r="A686" s="1"/>
      <c r="R686" s="2"/>
      <c r="S686" s="2"/>
      <c r="X686" s="3"/>
      <c r="Y686" s="3"/>
      <c r="Z686" s="3"/>
      <c r="AG686" s="2"/>
      <c r="AH686" s="2"/>
      <c r="AI686" s="2"/>
    </row>
    <row r="687" spans="1:35" ht="15.75">
      <c r="A687" s="1"/>
      <c r="R687" s="2"/>
      <c r="S687" s="2"/>
      <c r="X687" s="3"/>
      <c r="Y687" s="3"/>
      <c r="Z687" s="3"/>
      <c r="AG687" s="2"/>
      <c r="AH687" s="2"/>
      <c r="AI687" s="2"/>
    </row>
    <row r="688" spans="1:35" ht="15.75">
      <c r="A688" s="1"/>
      <c r="R688" s="2"/>
      <c r="S688" s="2"/>
      <c r="X688" s="3"/>
      <c r="Y688" s="3"/>
      <c r="Z688" s="3"/>
      <c r="AG688" s="2"/>
      <c r="AH688" s="2"/>
      <c r="AI688" s="2"/>
    </row>
    <row r="689" spans="1:35" ht="15.75">
      <c r="A689" s="1"/>
      <c r="R689" s="2"/>
      <c r="S689" s="2"/>
      <c r="X689" s="3"/>
      <c r="Y689" s="3"/>
      <c r="Z689" s="3"/>
      <c r="AG689" s="2"/>
      <c r="AH689" s="2"/>
      <c r="AI689" s="2"/>
    </row>
    <row r="690" spans="1:35" ht="15.75">
      <c r="A690" s="1"/>
      <c r="R690" s="2"/>
      <c r="S690" s="2"/>
      <c r="X690" s="3"/>
      <c r="Y690" s="3"/>
      <c r="Z690" s="3"/>
      <c r="AG690" s="2"/>
      <c r="AH690" s="2"/>
      <c r="AI690" s="2"/>
    </row>
    <row r="691" spans="1:35" ht="15.75">
      <c r="A691" s="1"/>
      <c r="R691" s="2"/>
      <c r="S691" s="2"/>
      <c r="X691" s="3"/>
      <c r="Y691" s="3"/>
      <c r="Z691" s="3"/>
      <c r="AG691" s="2"/>
      <c r="AH691" s="2"/>
      <c r="AI691" s="2"/>
    </row>
    <row r="692" spans="1:35" ht="15.75">
      <c r="A692" s="1"/>
      <c r="R692" s="2"/>
      <c r="S692" s="2"/>
      <c r="X692" s="3"/>
      <c r="Y692" s="3"/>
      <c r="Z692" s="3"/>
      <c r="AG692" s="2"/>
      <c r="AH692" s="2"/>
      <c r="AI692" s="2"/>
    </row>
    <row r="693" spans="1:35" ht="15.75">
      <c r="A693" s="1"/>
      <c r="R693" s="2"/>
      <c r="S693" s="2"/>
      <c r="X693" s="3"/>
      <c r="Y693" s="3"/>
      <c r="Z693" s="3"/>
      <c r="AG693" s="2"/>
      <c r="AH693" s="2"/>
      <c r="AI693" s="2"/>
    </row>
    <row r="694" spans="1:35" ht="15.75">
      <c r="A694" s="1"/>
      <c r="R694" s="2"/>
      <c r="S694" s="2"/>
      <c r="X694" s="3"/>
      <c r="Y694" s="3"/>
      <c r="Z694" s="3"/>
      <c r="AG694" s="2"/>
      <c r="AH694" s="2"/>
      <c r="AI694" s="2"/>
    </row>
    <row r="695" spans="1:35" ht="15.75">
      <c r="A695" s="1"/>
      <c r="R695" s="2"/>
      <c r="S695" s="2"/>
      <c r="X695" s="3"/>
      <c r="Y695" s="3"/>
      <c r="Z695" s="3"/>
      <c r="AG695" s="2"/>
      <c r="AH695" s="2"/>
      <c r="AI695" s="2"/>
    </row>
    <row r="696" spans="1:35" ht="15.75">
      <c r="A696" s="1"/>
      <c r="R696" s="2"/>
      <c r="S696" s="2"/>
      <c r="X696" s="3"/>
      <c r="Y696" s="3"/>
      <c r="Z696" s="3"/>
      <c r="AG696" s="2"/>
      <c r="AH696" s="2"/>
      <c r="AI696" s="2"/>
    </row>
    <row r="697" spans="1:35" ht="15.75">
      <c r="A697" s="1"/>
      <c r="R697" s="2"/>
      <c r="S697" s="2"/>
      <c r="X697" s="3"/>
      <c r="Y697" s="3"/>
      <c r="Z697" s="3"/>
      <c r="AG697" s="2"/>
      <c r="AH697" s="2"/>
      <c r="AI697" s="2"/>
    </row>
    <row r="698" spans="1:35" ht="15.75">
      <c r="A698" s="1"/>
      <c r="R698" s="2"/>
      <c r="S698" s="2"/>
      <c r="X698" s="3"/>
      <c r="Y698" s="3"/>
      <c r="Z698" s="3"/>
      <c r="AG698" s="2"/>
      <c r="AH698" s="2"/>
      <c r="AI698" s="2"/>
    </row>
    <row r="699" spans="1:35" ht="15.75">
      <c r="A699" s="1"/>
      <c r="R699" s="2"/>
      <c r="S699" s="2"/>
      <c r="X699" s="3"/>
      <c r="Y699" s="3"/>
      <c r="Z699" s="3"/>
      <c r="AG699" s="2"/>
      <c r="AH699" s="2"/>
      <c r="AI699" s="2"/>
    </row>
    <row r="700" spans="1:35" ht="15.75">
      <c r="A700" s="1"/>
      <c r="R700" s="2"/>
      <c r="S700" s="2"/>
      <c r="X700" s="3"/>
      <c r="Y700" s="3"/>
      <c r="Z700" s="3"/>
      <c r="AG700" s="2"/>
      <c r="AH700" s="2"/>
      <c r="AI700" s="2"/>
    </row>
    <row r="701" spans="1:35" ht="15.75">
      <c r="A701" s="1"/>
      <c r="R701" s="2"/>
      <c r="S701" s="2"/>
      <c r="X701" s="3"/>
      <c r="Y701" s="3"/>
      <c r="Z701" s="3"/>
      <c r="AG701" s="2"/>
      <c r="AH701" s="2"/>
      <c r="AI701" s="2"/>
    </row>
    <row r="702" spans="1:35" ht="15.75">
      <c r="A702" s="1"/>
      <c r="R702" s="2"/>
      <c r="S702" s="2"/>
      <c r="X702" s="3"/>
      <c r="Y702" s="3"/>
      <c r="Z702" s="3"/>
      <c r="AG702" s="2"/>
      <c r="AH702" s="2"/>
      <c r="AI702" s="2"/>
    </row>
    <row r="703" spans="1:35" ht="15.75">
      <c r="A703" s="1"/>
      <c r="R703" s="2"/>
      <c r="S703" s="2"/>
      <c r="X703" s="3"/>
      <c r="Y703" s="3"/>
      <c r="Z703" s="3"/>
      <c r="AG703" s="2"/>
      <c r="AH703" s="2"/>
      <c r="AI703" s="2"/>
    </row>
    <row r="704" spans="1:35" ht="15.75">
      <c r="A704" s="1"/>
      <c r="R704" s="2"/>
      <c r="S704" s="2"/>
      <c r="X704" s="3"/>
      <c r="Y704" s="3"/>
      <c r="Z704" s="3"/>
      <c r="AG704" s="2"/>
      <c r="AH704" s="2"/>
      <c r="AI704" s="2"/>
    </row>
    <row r="705" spans="1:35" ht="15.75">
      <c r="A705" s="1"/>
      <c r="R705" s="2"/>
      <c r="S705" s="2"/>
      <c r="X705" s="3"/>
      <c r="Y705" s="3"/>
      <c r="Z705" s="3"/>
      <c r="AG705" s="2"/>
      <c r="AH705" s="2"/>
      <c r="AI705" s="2"/>
    </row>
    <row r="706" spans="1:35" ht="15.75">
      <c r="A706" s="1"/>
      <c r="R706" s="2"/>
      <c r="S706" s="2"/>
      <c r="X706" s="3"/>
      <c r="Y706" s="3"/>
      <c r="Z706" s="3"/>
      <c r="AG706" s="2"/>
      <c r="AH706" s="2"/>
      <c r="AI706" s="2"/>
    </row>
    <row r="707" spans="1:35" ht="15.75">
      <c r="A707" s="1"/>
      <c r="R707" s="2"/>
      <c r="S707" s="2"/>
      <c r="X707" s="3"/>
      <c r="Y707" s="3"/>
      <c r="Z707" s="3"/>
      <c r="AG707" s="2"/>
      <c r="AH707" s="2"/>
      <c r="AI707" s="2"/>
    </row>
    <row r="708" spans="1:35" ht="15.75">
      <c r="A708" s="1"/>
      <c r="R708" s="2"/>
      <c r="S708" s="2"/>
      <c r="X708" s="3"/>
      <c r="Y708" s="3"/>
      <c r="Z708" s="3"/>
      <c r="AG708" s="2"/>
      <c r="AH708" s="2"/>
      <c r="AI708" s="2"/>
    </row>
    <row r="709" spans="1:35" ht="15.75">
      <c r="A709" s="1"/>
      <c r="R709" s="2"/>
      <c r="S709" s="2"/>
      <c r="X709" s="3"/>
      <c r="Y709" s="3"/>
      <c r="Z709" s="3"/>
      <c r="AG709" s="2"/>
      <c r="AH709" s="2"/>
      <c r="AI709" s="2"/>
    </row>
    <row r="710" spans="1:35" ht="15.75">
      <c r="A710" s="1"/>
      <c r="R710" s="2"/>
      <c r="S710" s="2"/>
      <c r="X710" s="3"/>
      <c r="Y710" s="3"/>
      <c r="Z710" s="3"/>
      <c r="AG710" s="2"/>
      <c r="AH710" s="2"/>
      <c r="AI710" s="2"/>
    </row>
    <row r="711" spans="1:35" ht="15.75">
      <c r="A711" s="1"/>
      <c r="R711" s="2"/>
      <c r="S711" s="2"/>
      <c r="X711" s="3"/>
      <c r="Y711" s="3"/>
      <c r="Z711" s="3"/>
      <c r="AG711" s="2"/>
      <c r="AH711" s="2"/>
      <c r="AI711" s="2"/>
    </row>
    <row r="712" spans="1:35" ht="15.75">
      <c r="A712" s="1"/>
      <c r="R712" s="2"/>
      <c r="S712" s="2"/>
      <c r="X712" s="3"/>
      <c r="Y712" s="3"/>
      <c r="Z712" s="3"/>
      <c r="AG712" s="2"/>
      <c r="AH712" s="2"/>
      <c r="AI712" s="2"/>
    </row>
    <row r="713" spans="1:35" ht="15.75">
      <c r="A713" s="1"/>
      <c r="R713" s="2"/>
      <c r="S713" s="2"/>
      <c r="X713" s="3"/>
      <c r="Y713" s="3"/>
      <c r="Z713" s="3"/>
      <c r="AG713" s="2"/>
      <c r="AH713" s="2"/>
      <c r="AI713" s="2"/>
    </row>
    <row r="714" spans="1:35" ht="15.75">
      <c r="A714" s="1"/>
      <c r="R714" s="2"/>
      <c r="S714" s="2"/>
      <c r="X714" s="3"/>
      <c r="Y714" s="3"/>
      <c r="Z714" s="3"/>
      <c r="AG714" s="2"/>
      <c r="AH714" s="2"/>
      <c r="AI714" s="2"/>
    </row>
    <row r="715" spans="1:35" ht="15.75">
      <c r="A715" s="1"/>
      <c r="R715" s="2"/>
      <c r="S715" s="2"/>
      <c r="X715" s="3"/>
      <c r="Y715" s="3"/>
      <c r="Z715" s="3"/>
      <c r="AG715" s="2"/>
      <c r="AH715" s="2"/>
      <c r="AI715" s="2"/>
    </row>
    <row r="716" spans="1:35" ht="15.75">
      <c r="A716" s="1"/>
      <c r="R716" s="2"/>
      <c r="S716" s="2"/>
      <c r="X716" s="3"/>
      <c r="Y716" s="3"/>
      <c r="Z716" s="3"/>
      <c r="AG716" s="2"/>
      <c r="AH716" s="2"/>
      <c r="AI716" s="2"/>
    </row>
    <row r="717" spans="1:35" ht="15.75">
      <c r="A717" s="1"/>
      <c r="R717" s="2"/>
      <c r="S717" s="2"/>
      <c r="X717" s="3"/>
      <c r="Y717" s="3"/>
      <c r="Z717" s="3"/>
      <c r="AG717" s="2"/>
      <c r="AH717" s="2"/>
      <c r="AI717" s="2"/>
    </row>
    <row r="718" spans="1:35" ht="15.75">
      <c r="A718" s="1"/>
      <c r="R718" s="2"/>
      <c r="S718" s="2"/>
      <c r="X718" s="3"/>
      <c r="Y718" s="3"/>
      <c r="Z718" s="3"/>
      <c r="AG718" s="2"/>
      <c r="AH718" s="2"/>
      <c r="AI718" s="2"/>
    </row>
    <row r="719" spans="1:35" ht="15.75">
      <c r="A719" s="1"/>
      <c r="R719" s="2"/>
      <c r="S719" s="2"/>
      <c r="X719" s="3"/>
      <c r="Y719" s="3"/>
      <c r="Z719" s="3"/>
      <c r="AG719" s="2"/>
      <c r="AH719" s="2"/>
      <c r="AI719" s="2"/>
    </row>
    <row r="720" spans="1:35" ht="15.75">
      <c r="A720" s="1"/>
      <c r="R720" s="2"/>
      <c r="S720" s="2"/>
      <c r="X720" s="3"/>
      <c r="Y720" s="3"/>
      <c r="Z720" s="3"/>
      <c r="AG720" s="2"/>
      <c r="AH720" s="2"/>
      <c r="AI720" s="2"/>
    </row>
    <row r="721" spans="1:35" ht="15.75">
      <c r="A721" s="1"/>
      <c r="R721" s="2"/>
      <c r="S721" s="2"/>
      <c r="X721" s="3"/>
      <c r="Y721" s="3"/>
      <c r="Z721" s="3"/>
      <c r="AG721" s="2"/>
      <c r="AH721" s="2"/>
      <c r="AI721" s="2"/>
    </row>
    <row r="722" spans="1:35" ht="15.75">
      <c r="A722" s="1"/>
      <c r="R722" s="2"/>
      <c r="S722" s="2"/>
      <c r="X722" s="3"/>
      <c r="Y722" s="3"/>
      <c r="Z722" s="3"/>
      <c r="AG722" s="2"/>
      <c r="AH722" s="2"/>
      <c r="AI722" s="2"/>
    </row>
    <row r="723" spans="1:35" ht="15.75">
      <c r="A723" s="1"/>
      <c r="R723" s="2"/>
      <c r="S723" s="2"/>
      <c r="X723" s="3"/>
      <c r="Y723" s="3"/>
      <c r="Z723" s="3"/>
      <c r="AG723" s="2"/>
      <c r="AH723" s="2"/>
      <c r="AI723" s="2"/>
    </row>
    <row r="724" spans="1:35" ht="15.75">
      <c r="A724" s="1"/>
      <c r="R724" s="2"/>
      <c r="S724" s="2"/>
      <c r="X724" s="3"/>
      <c r="Y724" s="3"/>
      <c r="Z724" s="3"/>
      <c r="AG724" s="2"/>
      <c r="AH724" s="2"/>
      <c r="AI724" s="2"/>
    </row>
    <row r="725" spans="1:35" ht="15.75">
      <c r="A725" s="1"/>
      <c r="R725" s="2"/>
      <c r="S725" s="2"/>
      <c r="X725" s="3"/>
      <c r="Y725" s="3"/>
      <c r="Z725" s="3"/>
      <c r="AG725" s="2"/>
      <c r="AH725" s="2"/>
      <c r="AI725" s="2"/>
    </row>
    <row r="726" spans="1:35" ht="15.75">
      <c r="A726" s="1"/>
      <c r="R726" s="2"/>
      <c r="S726" s="2"/>
      <c r="X726" s="3"/>
      <c r="Y726" s="3"/>
      <c r="Z726" s="3"/>
      <c r="AG726" s="2"/>
      <c r="AH726" s="2"/>
      <c r="AI726" s="2"/>
    </row>
    <row r="727" spans="1:35" ht="15.75">
      <c r="A727" s="1"/>
      <c r="R727" s="2"/>
      <c r="S727" s="2"/>
      <c r="X727" s="3"/>
      <c r="Y727" s="3"/>
      <c r="Z727" s="3"/>
      <c r="AG727" s="2"/>
      <c r="AH727" s="2"/>
      <c r="AI727" s="2"/>
    </row>
    <row r="728" spans="1:35" ht="15.75">
      <c r="A728" s="1"/>
      <c r="R728" s="2"/>
      <c r="S728" s="2"/>
      <c r="X728" s="3"/>
      <c r="Y728" s="3"/>
      <c r="Z728" s="3"/>
      <c r="AG728" s="2"/>
      <c r="AH728" s="2"/>
      <c r="AI728" s="2"/>
    </row>
    <row r="729" spans="1:35" ht="15.75">
      <c r="A729" s="1"/>
      <c r="R729" s="2"/>
      <c r="S729" s="2"/>
      <c r="X729" s="3"/>
      <c r="Y729" s="3"/>
      <c r="Z729" s="3"/>
      <c r="AG729" s="2"/>
      <c r="AH729" s="2"/>
      <c r="AI729" s="2"/>
    </row>
    <row r="730" spans="1:35" ht="15.75">
      <c r="A730" s="1"/>
      <c r="R730" s="2"/>
      <c r="S730" s="2"/>
      <c r="X730" s="3"/>
      <c r="Y730" s="3"/>
      <c r="Z730" s="3"/>
      <c r="AG730" s="2"/>
      <c r="AH730" s="2"/>
      <c r="AI730" s="2"/>
    </row>
    <row r="731" spans="1:35" ht="15.75">
      <c r="A731" s="1"/>
      <c r="R731" s="2"/>
      <c r="S731" s="2"/>
      <c r="X731" s="3"/>
      <c r="Y731" s="3"/>
      <c r="Z731" s="3"/>
      <c r="AG731" s="2"/>
      <c r="AH731" s="2"/>
      <c r="AI731" s="2"/>
    </row>
    <row r="732" spans="1:35" ht="15.75">
      <c r="A732" s="1"/>
      <c r="R732" s="2"/>
      <c r="S732" s="2"/>
      <c r="X732" s="3"/>
      <c r="Y732" s="3"/>
      <c r="Z732" s="3"/>
      <c r="AG732" s="2"/>
      <c r="AH732" s="2"/>
      <c r="AI732" s="2"/>
    </row>
    <row r="733" spans="1:35" ht="15.75">
      <c r="A733" s="1"/>
      <c r="R733" s="2"/>
      <c r="S733" s="2"/>
      <c r="X733" s="3"/>
      <c r="Y733" s="3"/>
      <c r="Z733" s="3"/>
      <c r="AG733" s="2"/>
      <c r="AH733" s="2"/>
      <c r="AI733" s="2"/>
    </row>
    <row r="734" spans="1:35" ht="15.75">
      <c r="A734" s="1"/>
      <c r="R734" s="2"/>
      <c r="S734" s="2"/>
      <c r="X734" s="3"/>
      <c r="Y734" s="3"/>
      <c r="Z734" s="3"/>
      <c r="AG734" s="2"/>
      <c r="AH734" s="2"/>
      <c r="AI734" s="2"/>
    </row>
    <row r="735" spans="1:35" ht="15.75">
      <c r="A735" s="1"/>
      <c r="R735" s="2"/>
      <c r="S735" s="2"/>
      <c r="X735" s="3"/>
      <c r="Y735" s="3"/>
      <c r="Z735" s="3"/>
      <c r="AG735" s="2"/>
      <c r="AH735" s="2"/>
      <c r="AI735" s="2"/>
    </row>
    <row r="736" spans="1:35" ht="15.75">
      <c r="A736" s="1"/>
      <c r="R736" s="2"/>
      <c r="S736" s="2"/>
      <c r="X736" s="3"/>
      <c r="Y736" s="3"/>
      <c r="Z736" s="3"/>
      <c r="AG736" s="2"/>
      <c r="AH736" s="2"/>
      <c r="AI736" s="2"/>
    </row>
    <row r="737" spans="1:35" ht="15.75">
      <c r="A737" s="1"/>
      <c r="R737" s="2"/>
      <c r="S737" s="2"/>
      <c r="X737" s="3"/>
      <c r="Y737" s="3"/>
      <c r="Z737" s="3"/>
      <c r="AG737" s="2"/>
      <c r="AH737" s="2"/>
      <c r="AI737" s="2"/>
    </row>
    <row r="738" spans="1:35" ht="15.75">
      <c r="A738" s="1"/>
      <c r="R738" s="2"/>
      <c r="S738" s="2"/>
      <c r="X738" s="3"/>
      <c r="Y738" s="3"/>
      <c r="Z738" s="3"/>
      <c r="AG738" s="2"/>
      <c r="AH738" s="2"/>
      <c r="AI738" s="2"/>
    </row>
    <row r="739" spans="1:35" ht="15.75">
      <c r="A739" s="1"/>
      <c r="R739" s="2"/>
      <c r="S739" s="2"/>
      <c r="X739" s="3"/>
      <c r="Y739" s="3"/>
      <c r="Z739" s="3"/>
      <c r="AG739" s="2"/>
      <c r="AH739" s="2"/>
      <c r="AI739" s="2"/>
    </row>
    <row r="740" spans="1:35" ht="15.75">
      <c r="A740" s="1"/>
      <c r="R740" s="2"/>
      <c r="S740" s="2"/>
      <c r="X740" s="3"/>
      <c r="Y740" s="3"/>
      <c r="Z740" s="3"/>
      <c r="AG740" s="2"/>
      <c r="AH740" s="2"/>
      <c r="AI740" s="2"/>
    </row>
    <row r="741" spans="1:35" ht="15.75">
      <c r="A741" s="1"/>
      <c r="R741" s="2"/>
      <c r="S741" s="2"/>
      <c r="X741" s="3"/>
      <c r="Y741" s="3"/>
      <c r="Z741" s="3"/>
      <c r="AG741" s="2"/>
      <c r="AH741" s="2"/>
      <c r="AI741" s="2"/>
    </row>
    <row r="742" spans="1:35" ht="15.75">
      <c r="A742" s="1"/>
      <c r="R742" s="2"/>
      <c r="S742" s="2"/>
      <c r="X742" s="3"/>
      <c r="Y742" s="3"/>
      <c r="Z742" s="3"/>
      <c r="AG742" s="2"/>
      <c r="AH742" s="2"/>
      <c r="AI742" s="2"/>
    </row>
    <row r="743" spans="1:35" ht="15.75">
      <c r="A743" s="1"/>
      <c r="R743" s="2"/>
      <c r="S743" s="2"/>
      <c r="X743" s="3"/>
      <c r="Y743" s="3"/>
      <c r="Z743" s="3"/>
      <c r="AG743" s="2"/>
      <c r="AH743" s="2"/>
      <c r="AI743" s="2"/>
    </row>
    <row r="744" spans="1:35" ht="15.75">
      <c r="A744" s="1"/>
      <c r="R744" s="2"/>
      <c r="S744" s="2"/>
      <c r="X744" s="3"/>
      <c r="Y744" s="3"/>
      <c r="Z744" s="3"/>
      <c r="AG744" s="2"/>
      <c r="AH744" s="2"/>
      <c r="AI744" s="2"/>
    </row>
    <row r="745" spans="1:35" ht="15.75">
      <c r="A745" s="1"/>
      <c r="R745" s="2"/>
      <c r="S745" s="2"/>
      <c r="X745" s="3"/>
      <c r="Y745" s="3"/>
      <c r="Z745" s="3"/>
      <c r="AG745" s="2"/>
      <c r="AH745" s="2"/>
      <c r="AI745" s="2"/>
    </row>
    <row r="746" spans="1:35" ht="15.75">
      <c r="A746" s="1"/>
      <c r="R746" s="2"/>
      <c r="S746" s="2"/>
      <c r="X746" s="3"/>
      <c r="Y746" s="3"/>
      <c r="Z746" s="3"/>
      <c r="AG746" s="2"/>
      <c r="AH746" s="2"/>
      <c r="AI746" s="2"/>
    </row>
    <row r="747" spans="1:35" ht="15.75">
      <c r="A747" s="1"/>
      <c r="R747" s="2"/>
      <c r="S747" s="2"/>
      <c r="X747" s="3"/>
      <c r="Y747" s="3"/>
      <c r="Z747" s="3"/>
      <c r="AG747" s="2"/>
      <c r="AH747" s="2"/>
      <c r="AI747" s="2"/>
    </row>
    <row r="748" spans="1:35" ht="15.75">
      <c r="A748" s="1"/>
      <c r="R748" s="2"/>
      <c r="S748" s="2"/>
      <c r="X748" s="3"/>
      <c r="Y748" s="3"/>
      <c r="Z748" s="3"/>
      <c r="AG748" s="2"/>
      <c r="AH748" s="2"/>
      <c r="AI748" s="2"/>
    </row>
    <row r="749" spans="1:35" ht="15.75">
      <c r="A749" s="1"/>
      <c r="R749" s="2"/>
      <c r="S749" s="2"/>
      <c r="X749" s="3"/>
      <c r="Y749" s="3"/>
      <c r="Z749" s="3"/>
      <c r="AG749" s="2"/>
      <c r="AH749" s="2"/>
      <c r="AI749" s="2"/>
    </row>
    <row r="750" spans="1:35" ht="15.75">
      <c r="A750" s="1"/>
      <c r="R750" s="2"/>
      <c r="S750" s="2"/>
      <c r="X750" s="3"/>
      <c r="Y750" s="3"/>
      <c r="Z750" s="3"/>
      <c r="AG750" s="2"/>
      <c r="AH750" s="2"/>
      <c r="AI750" s="2"/>
    </row>
    <row r="751" spans="1:35" ht="15.75">
      <c r="A751" s="1"/>
      <c r="R751" s="2"/>
      <c r="S751" s="2"/>
      <c r="X751" s="3"/>
      <c r="Y751" s="3"/>
      <c r="Z751" s="3"/>
      <c r="AG751" s="2"/>
      <c r="AH751" s="2"/>
      <c r="AI751" s="2"/>
    </row>
    <row r="752" spans="1:35" ht="15.75">
      <c r="A752" s="1"/>
      <c r="R752" s="2"/>
      <c r="S752" s="2"/>
      <c r="X752" s="3"/>
      <c r="Y752" s="3"/>
      <c r="Z752" s="3"/>
      <c r="AG752" s="2"/>
      <c r="AH752" s="2"/>
      <c r="AI752" s="2"/>
    </row>
    <row r="753" spans="1:35" ht="15.75">
      <c r="A753" s="1"/>
      <c r="R753" s="2"/>
      <c r="S753" s="2"/>
      <c r="X753" s="3"/>
      <c r="Y753" s="3"/>
      <c r="Z753" s="3"/>
      <c r="AG753" s="2"/>
      <c r="AH753" s="2"/>
      <c r="AI753" s="2"/>
    </row>
    <row r="754" spans="1:35" ht="15.75">
      <c r="A754" s="1"/>
      <c r="R754" s="2"/>
      <c r="S754" s="2"/>
      <c r="X754" s="3"/>
      <c r="Y754" s="3"/>
      <c r="Z754" s="3"/>
      <c r="AG754" s="2"/>
      <c r="AH754" s="2"/>
      <c r="AI754" s="2"/>
    </row>
    <row r="755" spans="1:35" ht="15.75">
      <c r="A755" s="1"/>
      <c r="R755" s="2"/>
      <c r="S755" s="2"/>
      <c r="X755" s="3"/>
      <c r="Y755" s="3"/>
      <c r="Z755" s="3"/>
      <c r="AG755" s="2"/>
      <c r="AH755" s="2"/>
      <c r="AI755" s="2"/>
    </row>
    <row r="756" spans="1:35" ht="15.75">
      <c r="A756" s="1"/>
      <c r="R756" s="2"/>
      <c r="S756" s="2"/>
      <c r="X756" s="3"/>
      <c r="Y756" s="3"/>
      <c r="Z756" s="3"/>
      <c r="AG756" s="2"/>
      <c r="AH756" s="2"/>
      <c r="AI756" s="2"/>
    </row>
    <row r="757" spans="1:35" ht="15.75">
      <c r="A757" s="1"/>
      <c r="R757" s="2"/>
      <c r="S757" s="2"/>
      <c r="X757" s="3"/>
      <c r="Y757" s="3"/>
      <c r="Z757" s="3"/>
      <c r="AG757" s="2"/>
      <c r="AH757" s="2"/>
      <c r="AI757" s="2"/>
    </row>
    <row r="758" spans="1:35" ht="15.75">
      <c r="A758" s="1"/>
      <c r="R758" s="2"/>
      <c r="S758" s="2"/>
      <c r="X758" s="3"/>
      <c r="Y758" s="3"/>
      <c r="Z758" s="3"/>
      <c r="AG758" s="2"/>
      <c r="AH758" s="2"/>
      <c r="AI758" s="2"/>
    </row>
    <row r="759" spans="1:35" ht="15.75">
      <c r="A759" s="1"/>
      <c r="R759" s="2"/>
      <c r="S759" s="2"/>
      <c r="X759" s="3"/>
      <c r="Y759" s="3"/>
      <c r="Z759" s="3"/>
      <c r="AG759" s="2"/>
      <c r="AH759" s="2"/>
      <c r="AI759" s="2"/>
    </row>
    <row r="760" spans="1:35" ht="15.75">
      <c r="A760" s="1"/>
      <c r="R760" s="2"/>
      <c r="S760" s="2"/>
      <c r="X760" s="3"/>
      <c r="Y760" s="3"/>
      <c r="Z760" s="3"/>
      <c r="AG760" s="2"/>
      <c r="AH760" s="2"/>
      <c r="AI760" s="2"/>
    </row>
    <row r="761" spans="1:35" ht="15.75">
      <c r="A761" s="1"/>
      <c r="R761" s="2"/>
      <c r="S761" s="2"/>
      <c r="X761" s="3"/>
      <c r="Y761" s="3"/>
      <c r="Z761" s="3"/>
      <c r="AG761" s="2"/>
      <c r="AH761" s="2"/>
      <c r="AI761" s="2"/>
    </row>
    <row r="762" spans="1:35" ht="15.75">
      <c r="A762" s="1"/>
      <c r="R762" s="2"/>
      <c r="S762" s="2"/>
      <c r="X762" s="3"/>
      <c r="Y762" s="3"/>
      <c r="Z762" s="3"/>
      <c r="AG762" s="2"/>
      <c r="AH762" s="2"/>
      <c r="AI762" s="2"/>
    </row>
    <row r="763" spans="1:35" ht="15.75">
      <c r="A763" s="1"/>
      <c r="R763" s="2"/>
      <c r="S763" s="2"/>
      <c r="X763" s="3"/>
      <c r="Y763" s="3"/>
      <c r="Z763" s="3"/>
      <c r="AG763" s="2"/>
      <c r="AH763" s="2"/>
      <c r="AI763" s="2"/>
    </row>
    <row r="764" spans="1:35" ht="15.75">
      <c r="A764" s="1"/>
      <c r="R764" s="2"/>
      <c r="S764" s="2"/>
      <c r="X764" s="3"/>
      <c r="Y764" s="3"/>
      <c r="Z764" s="3"/>
      <c r="AG764" s="2"/>
      <c r="AH764" s="2"/>
      <c r="AI764" s="2"/>
    </row>
    <row r="765" spans="1:35" ht="15.75">
      <c r="A765" s="1"/>
      <c r="R765" s="2"/>
      <c r="S765" s="2"/>
      <c r="X765" s="3"/>
      <c r="Y765" s="3"/>
      <c r="Z765" s="3"/>
      <c r="AG765" s="2"/>
      <c r="AH765" s="2"/>
      <c r="AI765" s="2"/>
    </row>
    <row r="766" spans="1:35" ht="15.75">
      <c r="A766" s="1"/>
      <c r="R766" s="2"/>
      <c r="S766" s="2"/>
      <c r="X766" s="3"/>
      <c r="Y766" s="3"/>
      <c r="Z766" s="3"/>
      <c r="AG766" s="2"/>
      <c r="AH766" s="2"/>
      <c r="AI766" s="2"/>
    </row>
    <row r="767" spans="1:35" ht="15.75">
      <c r="A767" s="1"/>
      <c r="R767" s="2"/>
      <c r="S767" s="2"/>
      <c r="X767" s="3"/>
      <c r="Y767" s="3"/>
      <c r="Z767" s="3"/>
      <c r="AG767" s="2"/>
      <c r="AH767" s="2"/>
      <c r="AI767" s="2"/>
    </row>
    <row r="768" spans="1:35" ht="15.75">
      <c r="A768" s="1"/>
      <c r="R768" s="2"/>
      <c r="S768" s="2"/>
      <c r="X768" s="3"/>
      <c r="Y768" s="3"/>
      <c r="Z768" s="3"/>
      <c r="AG768" s="2"/>
      <c r="AH768" s="2"/>
      <c r="AI768" s="2"/>
    </row>
    <row r="769" spans="1:35" ht="15.75">
      <c r="A769" s="1"/>
      <c r="R769" s="2"/>
      <c r="S769" s="2"/>
      <c r="X769" s="3"/>
      <c r="Y769" s="3"/>
      <c r="Z769" s="3"/>
      <c r="AG769" s="2"/>
      <c r="AH769" s="2"/>
      <c r="AI769" s="2"/>
    </row>
    <row r="770" spans="1:35" ht="15.75">
      <c r="A770" s="1"/>
      <c r="R770" s="2"/>
      <c r="S770" s="2"/>
      <c r="X770" s="3"/>
      <c r="Y770" s="3"/>
      <c r="Z770" s="3"/>
      <c r="AG770" s="2"/>
      <c r="AH770" s="2"/>
      <c r="AI770" s="2"/>
    </row>
    <row r="771" spans="1:35" ht="15.75">
      <c r="A771" s="1"/>
      <c r="R771" s="2"/>
      <c r="S771" s="2"/>
      <c r="X771" s="3"/>
      <c r="Y771" s="3"/>
      <c r="Z771" s="3"/>
      <c r="AG771" s="2"/>
      <c r="AH771" s="2"/>
      <c r="AI771" s="2"/>
    </row>
    <row r="772" spans="1:35" ht="15.75">
      <c r="A772" s="1"/>
      <c r="R772" s="2"/>
      <c r="S772" s="2"/>
      <c r="X772" s="3"/>
      <c r="Y772" s="3"/>
      <c r="Z772" s="3"/>
      <c r="AG772" s="2"/>
      <c r="AH772" s="2"/>
      <c r="AI772" s="2"/>
    </row>
    <row r="773" spans="1:35" ht="15.75">
      <c r="A773" s="1"/>
      <c r="R773" s="2"/>
      <c r="S773" s="2"/>
      <c r="X773" s="3"/>
      <c r="Y773" s="3"/>
      <c r="Z773" s="3"/>
      <c r="AG773" s="2"/>
      <c r="AH773" s="2"/>
      <c r="AI773" s="2"/>
    </row>
    <row r="774" spans="1:35" ht="15.75">
      <c r="A774" s="1"/>
      <c r="R774" s="2"/>
      <c r="S774" s="2"/>
      <c r="X774" s="3"/>
      <c r="Y774" s="3"/>
      <c r="Z774" s="3"/>
      <c r="AG774" s="2"/>
      <c r="AH774" s="2"/>
      <c r="AI774" s="2"/>
    </row>
    <row r="775" spans="1:35" ht="15.75">
      <c r="A775" s="1"/>
      <c r="R775" s="2"/>
      <c r="S775" s="2"/>
      <c r="X775" s="3"/>
      <c r="Y775" s="3"/>
      <c r="Z775" s="3"/>
      <c r="AG775" s="2"/>
      <c r="AH775" s="2"/>
      <c r="AI775" s="2"/>
    </row>
    <row r="776" spans="1:35" ht="15.75">
      <c r="A776" s="1"/>
      <c r="R776" s="2"/>
      <c r="S776" s="2"/>
      <c r="X776" s="3"/>
      <c r="Y776" s="3"/>
      <c r="Z776" s="3"/>
      <c r="AG776" s="2"/>
      <c r="AH776" s="2"/>
      <c r="AI776" s="2"/>
    </row>
    <row r="777" spans="1:35" ht="15.75">
      <c r="A777" s="1"/>
      <c r="R777" s="2"/>
      <c r="S777" s="2"/>
      <c r="X777" s="3"/>
      <c r="Y777" s="3"/>
      <c r="Z777" s="3"/>
      <c r="AG777" s="2"/>
      <c r="AH777" s="2"/>
      <c r="AI777" s="2"/>
    </row>
    <row r="778" spans="1:35" ht="15.75">
      <c r="A778" s="1"/>
      <c r="R778" s="2"/>
      <c r="S778" s="2"/>
      <c r="X778" s="3"/>
      <c r="Y778" s="3"/>
      <c r="Z778" s="3"/>
      <c r="AG778" s="2"/>
      <c r="AH778" s="2"/>
      <c r="AI778" s="2"/>
    </row>
    <row r="779" spans="1:35" ht="15.75">
      <c r="A779" s="1"/>
      <c r="R779" s="2"/>
      <c r="S779" s="2"/>
      <c r="X779" s="3"/>
      <c r="Y779" s="3"/>
      <c r="Z779" s="3"/>
      <c r="AG779" s="2"/>
      <c r="AH779" s="2"/>
      <c r="AI779" s="2"/>
    </row>
    <row r="780" spans="1:35" ht="15.75">
      <c r="A780" s="1"/>
      <c r="R780" s="2"/>
      <c r="S780" s="2"/>
      <c r="X780" s="3"/>
      <c r="Y780" s="3"/>
      <c r="Z780" s="3"/>
      <c r="AG780" s="2"/>
      <c r="AH780" s="2"/>
      <c r="AI780" s="2"/>
    </row>
    <row r="781" spans="1:35" ht="15.75">
      <c r="A781" s="1"/>
      <c r="R781" s="2"/>
      <c r="S781" s="2"/>
      <c r="X781" s="3"/>
      <c r="Y781" s="3"/>
      <c r="Z781" s="3"/>
      <c r="AG781" s="2"/>
      <c r="AH781" s="2"/>
      <c r="AI781" s="2"/>
    </row>
    <row r="782" spans="1:35" ht="15.75">
      <c r="A782" s="1"/>
      <c r="R782" s="2"/>
      <c r="S782" s="2"/>
      <c r="X782" s="3"/>
      <c r="Y782" s="3"/>
      <c r="Z782" s="3"/>
      <c r="AG782" s="2"/>
      <c r="AH782" s="2"/>
      <c r="AI782" s="2"/>
    </row>
    <row r="783" spans="1:35" ht="15.75">
      <c r="A783" s="1"/>
      <c r="R783" s="2"/>
      <c r="S783" s="2"/>
      <c r="X783" s="3"/>
      <c r="Y783" s="3"/>
      <c r="Z783" s="3"/>
      <c r="AG783" s="2"/>
      <c r="AH783" s="2"/>
      <c r="AI783" s="2"/>
    </row>
    <row r="784" spans="1:35" ht="15.75">
      <c r="A784" s="1"/>
      <c r="R784" s="2"/>
      <c r="S784" s="2"/>
      <c r="X784" s="3"/>
      <c r="Y784" s="3"/>
      <c r="Z784" s="3"/>
      <c r="AG784" s="2"/>
      <c r="AH784" s="2"/>
      <c r="AI784" s="2"/>
    </row>
    <row r="785" spans="1:35" ht="15.75">
      <c r="A785" s="1"/>
      <c r="R785" s="2"/>
      <c r="S785" s="2"/>
      <c r="X785" s="3"/>
      <c r="Y785" s="3"/>
      <c r="Z785" s="3"/>
      <c r="AG785" s="2"/>
      <c r="AH785" s="2"/>
      <c r="AI785" s="2"/>
    </row>
    <row r="786" spans="1:35" ht="15.75">
      <c r="A786" s="1"/>
      <c r="R786" s="2"/>
      <c r="S786" s="2"/>
      <c r="X786" s="3"/>
      <c r="Y786" s="3"/>
      <c r="Z786" s="3"/>
      <c r="AG786" s="2"/>
      <c r="AH786" s="2"/>
      <c r="AI786" s="2"/>
    </row>
    <row r="787" spans="1:35" ht="15.75">
      <c r="A787" s="1"/>
      <c r="R787" s="2"/>
      <c r="S787" s="2"/>
      <c r="X787" s="3"/>
      <c r="Y787" s="3"/>
      <c r="Z787" s="3"/>
      <c r="AG787" s="2"/>
      <c r="AH787" s="2"/>
      <c r="AI787" s="2"/>
    </row>
    <row r="788" spans="1:35" ht="15.75">
      <c r="A788" s="1"/>
      <c r="R788" s="2"/>
      <c r="S788" s="2"/>
      <c r="X788" s="3"/>
      <c r="Y788" s="3"/>
      <c r="Z788" s="3"/>
      <c r="AG788" s="2"/>
      <c r="AH788" s="2"/>
      <c r="AI788" s="2"/>
    </row>
    <row r="789" spans="1:35" ht="15.75">
      <c r="A789" s="1"/>
      <c r="R789" s="2"/>
      <c r="S789" s="2"/>
      <c r="X789" s="3"/>
      <c r="Y789" s="3"/>
      <c r="Z789" s="3"/>
      <c r="AG789" s="2"/>
      <c r="AH789" s="2"/>
      <c r="AI789" s="2"/>
    </row>
    <row r="790" spans="1:35" ht="15.75">
      <c r="A790" s="1"/>
      <c r="R790" s="2"/>
      <c r="S790" s="2"/>
      <c r="X790" s="3"/>
      <c r="Y790" s="3"/>
      <c r="Z790" s="3"/>
      <c r="AG790" s="2"/>
      <c r="AH790" s="2"/>
      <c r="AI790" s="2"/>
    </row>
    <row r="791" spans="1:35" ht="15.75">
      <c r="A791" s="1"/>
      <c r="R791" s="2"/>
      <c r="S791" s="2"/>
      <c r="X791" s="3"/>
      <c r="Y791" s="3"/>
      <c r="Z791" s="3"/>
      <c r="AG791" s="2"/>
      <c r="AH791" s="2"/>
      <c r="AI791" s="2"/>
    </row>
    <row r="792" spans="1:35" ht="15.75">
      <c r="A792" s="1"/>
      <c r="R792" s="2"/>
      <c r="S792" s="2"/>
      <c r="X792" s="3"/>
      <c r="Y792" s="3"/>
      <c r="Z792" s="3"/>
      <c r="AG792" s="2"/>
      <c r="AH792" s="2"/>
      <c r="AI792" s="2"/>
    </row>
    <row r="793" spans="1:35" ht="15.75">
      <c r="A793" s="1"/>
      <c r="R793" s="2"/>
      <c r="S793" s="2"/>
      <c r="X793" s="3"/>
      <c r="Y793" s="3"/>
      <c r="Z793" s="3"/>
      <c r="AG793" s="2"/>
      <c r="AH793" s="2"/>
      <c r="AI793" s="2"/>
    </row>
    <row r="794" spans="1:35" ht="15.75">
      <c r="A794" s="1"/>
      <c r="R794" s="2"/>
      <c r="S794" s="2"/>
      <c r="X794" s="3"/>
      <c r="Y794" s="3"/>
      <c r="Z794" s="3"/>
      <c r="AG794" s="2"/>
      <c r="AH794" s="2"/>
      <c r="AI794" s="2"/>
    </row>
    <row r="795" spans="1:35" ht="15.75">
      <c r="A795" s="1"/>
      <c r="R795" s="2"/>
      <c r="S795" s="2"/>
      <c r="X795" s="3"/>
      <c r="Y795" s="3"/>
      <c r="Z795" s="3"/>
      <c r="AG795" s="2"/>
      <c r="AH795" s="2"/>
      <c r="AI795" s="2"/>
    </row>
    <row r="796" spans="1:35" ht="15.75">
      <c r="A796" s="1"/>
      <c r="R796" s="2"/>
      <c r="S796" s="2"/>
      <c r="X796" s="3"/>
      <c r="Y796" s="3"/>
      <c r="Z796" s="3"/>
      <c r="AG796" s="2"/>
      <c r="AH796" s="2"/>
      <c r="AI796" s="2"/>
    </row>
    <row r="797" spans="1:35" ht="15.75">
      <c r="A797" s="1"/>
      <c r="R797" s="2"/>
      <c r="S797" s="2"/>
      <c r="X797" s="3"/>
      <c r="Y797" s="3"/>
      <c r="Z797" s="3"/>
      <c r="AG797" s="2"/>
      <c r="AH797" s="2"/>
      <c r="AI797" s="2"/>
    </row>
    <row r="798" spans="1:35" ht="15.75">
      <c r="A798" s="1"/>
      <c r="R798" s="2"/>
      <c r="S798" s="2"/>
      <c r="X798" s="3"/>
      <c r="Y798" s="3"/>
      <c r="Z798" s="3"/>
      <c r="AG798" s="2"/>
      <c r="AH798" s="2"/>
      <c r="AI798" s="2"/>
    </row>
    <row r="799" spans="1:35" ht="15.75">
      <c r="A799" s="1"/>
      <c r="R799" s="2"/>
      <c r="S799" s="2"/>
      <c r="X799" s="3"/>
      <c r="Y799" s="3"/>
      <c r="Z799" s="3"/>
      <c r="AG799" s="2"/>
      <c r="AH799" s="2"/>
      <c r="AI799" s="2"/>
    </row>
    <row r="800" spans="1:35" ht="15.75">
      <c r="A800" s="1"/>
      <c r="R800" s="2"/>
      <c r="S800" s="2"/>
      <c r="X800" s="3"/>
      <c r="Y800" s="3"/>
      <c r="Z800" s="3"/>
      <c r="AG800" s="2"/>
      <c r="AH800" s="2"/>
      <c r="AI800" s="2"/>
    </row>
    <row r="801" spans="1:35" ht="15.75">
      <c r="A801" s="1"/>
      <c r="R801" s="2"/>
      <c r="S801" s="2"/>
      <c r="X801" s="3"/>
      <c r="Y801" s="3"/>
      <c r="Z801" s="3"/>
      <c r="AG801" s="2"/>
      <c r="AH801" s="2"/>
      <c r="AI801" s="2"/>
    </row>
    <row r="802" spans="1:35" ht="15.75">
      <c r="A802" s="1"/>
      <c r="R802" s="2"/>
      <c r="S802" s="2"/>
      <c r="X802" s="3"/>
      <c r="Y802" s="3"/>
      <c r="Z802" s="3"/>
      <c r="AG802" s="2"/>
      <c r="AH802" s="2"/>
      <c r="AI802" s="2"/>
    </row>
    <row r="803" spans="1:35" ht="15.75">
      <c r="A803" s="1"/>
      <c r="R803" s="2"/>
      <c r="S803" s="2"/>
      <c r="X803" s="3"/>
      <c r="Y803" s="3"/>
      <c r="Z803" s="3"/>
      <c r="AG803" s="2"/>
      <c r="AH803" s="2"/>
      <c r="AI803" s="2"/>
    </row>
    <row r="804" spans="1:35" ht="15.75">
      <c r="A804" s="1"/>
      <c r="R804" s="2"/>
      <c r="S804" s="2"/>
      <c r="X804" s="3"/>
      <c r="Y804" s="3"/>
      <c r="Z804" s="3"/>
      <c r="AG804" s="2"/>
      <c r="AH804" s="2"/>
      <c r="AI804" s="2"/>
    </row>
    <row r="805" spans="1:35" ht="15.75">
      <c r="A805" s="1"/>
      <c r="R805" s="2"/>
      <c r="S805" s="2"/>
      <c r="X805" s="3"/>
      <c r="Y805" s="3"/>
      <c r="Z805" s="3"/>
      <c r="AG805" s="2"/>
      <c r="AH805" s="2"/>
      <c r="AI805" s="2"/>
    </row>
    <row r="806" spans="1:35" ht="15.75">
      <c r="A806" s="1"/>
      <c r="R806" s="2"/>
      <c r="S806" s="2"/>
      <c r="X806" s="3"/>
      <c r="Y806" s="3"/>
      <c r="Z806" s="3"/>
      <c r="AG806" s="2"/>
      <c r="AH806" s="2"/>
      <c r="AI806" s="2"/>
    </row>
    <row r="807" spans="1:35" ht="15.75">
      <c r="A807" s="1"/>
      <c r="R807" s="2"/>
      <c r="S807" s="2"/>
      <c r="X807" s="3"/>
      <c r="Y807" s="3"/>
      <c r="Z807" s="3"/>
      <c r="AG807" s="2"/>
      <c r="AH807" s="2"/>
      <c r="AI807" s="2"/>
    </row>
    <row r="808" spans="1:35" ht="15.75">
      <c r="A808" s="1"/>
      <c r="R808" s="2"/>
      <c r="S808" s="2"/>
      <c r="X808" s="3"/>
      <c r="Y808" s="3"/>
      <c r="Z808" s="3"/>
      <c r="AG808" s="2"/>
      <c r="AH808" s="2"/>
      <c r="AI808" s="2"/>
    </row>
    <row r="809" spans="1:35" ht="15.75">
      <c r="A809" s="1"/>
      <c r="R809" s="2"/>
      <c r="S809" s="2"/>
      <c r="X809" s="3"/>
      <c r="Y809" s="3"/>
      <c r="Z809" s="3"/>
      <c r="AG809" s="2"/>
      <c r="AH809" s="2"/>
      <c r="AI809" s="2"/>
    </row>
    <row r="810" spans="1:35" ht="15.75">
      <c r="A810" s="1"/>
      <c r="R810" s="2"/>
      <c r="S810" s="2"/>
      <c r="X810" s="3"/>
      <c r="Y810" s="3"/>
      <c r="Z810" s="3"/>
      <c r="AG810" s="2"/>
      <c r="AH810" s="2"/>
      <c r="AI810" s="2"/>
    </row>
    <row r="811" spans="1:35" ht="15.75">
      <c r="A811" s="1"/>
      <c r="R811" s="2"/>
      <c r="S811" s="2"/>
      <c r="X811" s="3"/>
      <c r="Y811" s="3"/>
      <c r="Z811" s="3"/>
      <c r="AG811" s="2"/>
      <c r="AH811" s="2"/>
      <c r="AI811" s="2"/>
    </row>
    <row r="812" spans="1:35" ht="15.75">
      <c r="A812" s="1"/>
      <c r="R812" s="2"/>
      <c r="S812" s="2"/>
      <c r="X812" s="3"/>
      <c r="Y812" s="3"/>
      <c r="Z812" s="3"/>
      <c r="AG812" s="2"/>
      <c r="AH812" s="2"/>
      <c r="AI812" s="2"/>
    </row>
    <row r="813" spans="1:35" ht="15.75">
      <c r="A813" s="1"/>
      <c r="R813" s="2"/>
      <c r="S813" s="2"/>
      <c r="X813" s="3"/>
      <c r="Y813" s="3"/>
      <c r="Z813" s="3"/>
      <c r="AG813" s="2"/>
      <c r="AH813" s="2"/>
      <c r="AI813" s="2"/>
    </row>
    <row r="814" spans="1:35" ht="15.75">
      <c r="A814" s="1"/>
      <c r="R814" s="2"/>
      <c r="S814" s="2"/>
      <c r="X814" s="3"/>
      <c r="Y814" s="3"/>
      <c r="Z814" s="3"/>
      <c r="AG814" s="2"/>
      <c r="AH814" s="2"/>
      <c r="AI814" s="2"/>
    </row>
    <row r="815" spans="1:35" ht="15.75">
      <c r="A815" s="1"/>
      <c r="R815" s="2"/>
      <c r="S815" s="2"/>
      <c r="X815" s="3"/>
      <c r="Y815" s="3"/>
      <c r="Z815" s="3"/>
      <c r="AG815" s="2"/>
      <c r="AH815" s="2"/>
      <c r="AI815" s="2"/>
    </row>
    <row r="816" spans="1:35" ht="15.75">
      <c r="A816" s="1"/>
      <c r="R816" s="2"/>
      <c r="S816" s="2"/>
      <c r="X816" s="3"/>
      <c r="Y816" s="3"/>
      <c r="Z816" s="3"/>
      <c r="AG816" s="2"/>
      <c r="AH816" s="2"/>
      <c r="AI816" s="2"/>
    </row>
    <row r="817" spans="1:35" ht="15.75">
      <c r="A817" s="1"/>
      <c r="R817" s="2"/>
      <c r="S817" s="2"/>
      <c r="X817" s="3"/>
      <c r="Y817" s="3"/>
      <c r="Z817" s="3"/>
      <c r="AG817" s="2"/>
      <c r="AH817" s="2"/>
      <c r="AI817" s="2"/>
    </row>
    <row r="818" spans="1:35" ht="15.75">
      <c r="A818" s="1"/>
      <c r="R818" s="2"/>
      <c r="S818" s="2"/>
      <c r="X818" s="3"/>
      <c r="Y818" s="3"/>
      <c r="Z818" s="3"/>
      <c r="AG818" s="2"/>
      <c r="AH818" s="2"/>
      <c r="AI818" s="2"/>
    </row>
    <row r="819" spans="1:35" ht="15.75">
      <c r="A819" s="1"/>
      <c r="R819" s="2"/>
      <c r="S819" s="2"/>
      <c r="X819" s="3"/>
      <c r="Y819" s="3"/>
      <c r="Z819" s="3"/>
      <c r="AG819" s="2"/>
      <c r="AH819" s="2"/>
      <c r="AI819" s="2"/>
    </row>
    <row r="820" spans="1:35" ht="15.75">
      <c r="A820" s="1"/>
      <c r="R820" s="2"/>
      <c r="S820" s="2"/>
      <c r="X820" s="3"/>
      <c r="Y820" s="3"/>
      <c r="Z820" s="3"/>
      <c r="AG820" s="2"/>
      <c r="AH820" s="2"/>
      <c r="AI820" s="2"/>
    </row>
    <row r="821" spans="1:35" ht="15.75">
      <c r="A821" s="1"/>
      <c r="R821" s="2"/>
      <c r="S821" s="2"/>
      <c r="X821" s="3"/>
      <c r="Y821" s="3"/>
      <c r="Z821" s="3"/>
      <c r="AG821" s="2"/>
      <c r="AH821" s="2"/>
      <c r="AI821" s="2"/>
    </row>
    <row r="822" spans="1:35" ht="15.75">
      <c r="A822" s="1"/>
      <c r="R822" s="2"/>
      <c r="S822" s="2"/>
      <c r="X822" s="3"/>
      <c r="Y822" s="3"/>
      <c r="Z822" s="3"/>
      <c r="AG822" s="2"/>
      <c r="AH822" s="2"/>
      <c r="AI822" s="2"/>
    </row>
    <row r="823" spans="1:35" ht="15.75">
      <c r="A823" s="1"/>
      <c r="R823" s="2"/>
      <c r="S823" s="2"/>
      <c r="X823" s="3"/>
      <c r="Y823" s="3"/>
      <c r="Z823" s="3"/>
      <c r="AG823" s="2"/>
      <c r="AH823" s="2"/>
      <c r="AI823" s="2"/>
    </row>
    <row r="824" spans="1:35" ht="15.75">
      <c r="A824" s="1"/>
      <c r="R824" s="2"/>
      <c r="S824" s="2"/>
      <c r="X824" s="3"/>
      <c r="Y824" s="3"/>
      <c r="Z824" s="3"/>
      <c r="AG824" s="2"/>
      <c r="AH824" s="2"/>
      <c r="AI824" s="2"/>
    </row>
    <row r="825" spans="1:35" ht="15.75">
      <c r="A825" s="1"/>
      <c r="R825" s="2"/>
      <c r="S825" s="2"/>
      <c r="X825" s="3"/>
      <c r="Y825" s="3"/>
      <c r="Z825" s="3"/>
      <c r="AG825" s="2"/>
      <c r="AH825" s="2"/>
      <c r="AI825" s="2"/>
    </row>
    <row r="826" spans="1:35" ht="15.75">
      <c r="A826" s="1"/>
      <c r="R826" s="2"/>
      <c r="S826" s="2"/>
      <c r="X826" s="3"/>
      <c r="Y826" s="3"/>
      <c r="Z826" s="3"/>
      <c r="AG826" s="2"/>
      <c r="AH826" s="2"/>
      <c r="AI826" s="2"/>
    </row>
    <row r="827" spans="1:35" ht="15.75">
      <c r="A827" s="1"/>
      <c r="R827" s="2"/>
      <c r="S827" s="2"/>
      <c r="X827" s="3"/>
      <c r="Y827" s="3"/>
      <c r="Z827" s="3"/>
      <c r="AG827" s="2"/>
      <c r="AH827" s="2"/>
      <c r="AI827" s="2"/>
    </row>
    <row r="828" spans="1:35" ht="15.75">
      <c r="A828" s="1"/>
      <c r="R828" s="2"/>
      <c r="S828" s="2"/>
      <c r="X828" s="3"/>
      <c r="Y828" s="3"/>
      <c r="Z828" s="3"/>
      <c r="AG828" s="2"/>
      <c r="AH828" s="2"/>
      <c r="AI828" s="2"/>
    </row>
    <row r="829" spans="1:35" ht="15.75">
      <c r="A829" s="1"/>
      <c r="R829" s="2"/>
      <c r="S829" s="2"/>
      <c r="X829" s="3"/>
      <c r="Y829" s="3"/>
      <c r="Z829" s="3"/>
      <c r="AG829" s="2"/>
      <c r="AH829" s="2"/>
      <c r="AI829" s="2"/>
    </row>
    <row r="830" spans="1:35" ht="15.75">
      <c r="A830" s="1"/>
      <c r="R830" s="2"/>
      <c r="S830" s="2"/>
      <c r="X830" s="3"/>
      <c r="Y830" s="3"/>
      <c r="Z830" s="3"/>
      <c r="AG830" s="2"/>
      <c r="AH830" s="2"/>
      <c r="AI830" s="2"/>
    </row>
    <row r="831" spans="1:35" ht="15.75">
      <c r="A831" s="1"/>
      <c r="R831" s="2"/>
      <c r="S831" s="2"/>
      <c r="X831" s="3"/>
      <c r="Y831" s="3"/>
      <c r="Z831" s="3"/>
      <c r="AG831" s="2"/>
      <c r="AH831" s="2"/>
      <c r="AI831" s="2"/>
    </row>
    <row r="832" spans="1:35" ht="15.75">
      <c r="A832" s="1"/>
      <c r="R832" s="2"/>
      <c r="S832" s="2"/>
      <c r="X832" s="3"/>
      <c r="Y832" s="3"/>
      <c r="Z832" s="3"/>
      <c r="AG832" s="2"/>
      <c r="AH832" s="2"/>
      <c r="AI832" s="2"/>
    </row>
    <row r="833" spans="1:35" ht="15.75">
      <c r="A833" s="1"/>
      <c r="R833" s="2"/>
      <c r="S833" s="2"/>
      <c r="X833" s="3"/>
      <c r="Y833" s="3"/>
      <c r="Z833" s="3"/>
      <c r="AG833" s="2"/>
      <c r="AH833" s="2"/>
      <c r="AI833" s="2"/>
    </row>
    <row r="834" spans="1:35" ht="15.75">
      <c r="A834" s="1"/>
      <c r="R834" s="2"/>
      <c r="S834" s="2"/>
      <c r="X834" s="3"/>
      <c r="Y834" s="3"/>
      <c r="Z834" s="3"/>
      <c r="AG834" s="2"/>
      <c r="AH834" s="2"/>
      <c r="AI834" s="2"/>
    </row>
    <row r="835" spans="1:35" ht="15.75">
      <c r="A835" s="1"/>
      <c r="R835" s="2"/>
      <c r="S835" s="2"/>
      <c r="X835" s="3"/>
      <c r="Y835" s="3"/>
      <c r="Z835" s="3"/>
      <c r="AG835" s="2"/>
      <c r="AH835" s="2"/>
      <c r="AI835" s="2"/>
    </row>
    <row r="836" spans="1:35" ht="15.75">
      <c r="A836" s="1"/>
      <c r="R836" s="2"/>
      <c r="S836" s="2"/>
      <c r="X836" s="3"/>
      <c r="Y836" s="3"/>
      <c r="Z836" s="3"/>
      <c r="AG836" s="2"/>
      <c r="AH836" s="2"/>
      <c r="AI836" s="2"/>
    </row>
    <row r="837" spans="1:35" ht="15.75">
      <c r="A837" s="1"/>
      <c r="R837" s="2"/>
      <c r="S837" s="2"/>
      <c r="X837" s="3"/>
      <c r="Y837" s="3"/>
      <c r="Z837" s="3"/>
      <c r="AG837" s="2"/>
      <c r="AH837" s="2"/>
      <c r="AI837" s="2"/>
    </row>
    <row r="838" spans="1:35" ht="15.75">
      <c r="A838" s="1"/>
      <c r="R838" s="2"/>
      <c r="S838" s="2"/>
      <c r="X838" s="3"/>
      <c r="Y838" s="3"/>
      <c r="Z838" s="3"/>
      <c r="AG838" s="2"/>
      <c r="AH838" s="2"/>
      <c r="AI838" s="2"/>
    </row>
    <row r="839" spans="1:35" ht="15.75">
      <c r="A839" s="1"/>
      <c r="R839" s="2"/>
      <c r="S839" s="2"/>
      <c r="X839" s="3"/>
      <c r="Y839" s="3"/>
      <c r="Z839" s="3"/>
      <c r="AG839" s="2"/>
      <c r="AH839" s="2"/>
      <c r="AI839" s="2"/>
    </row>
    <row r="840" spans="1:35" ht="15.75">
      <c r="A840" s="1"/>
      <c r="R840" s="2"/>
      <c r="S840" s="2"/>
      <c r="X840" s="3"/>
      <c r="Y840" s="3"/>
      <c r="Z840" s="3"/>
      <c r="AG840" s="2"/>
      <c r="AH840" s="2"/>
      <c r="AI840" s="2"/>
    </row>
    <row r="841" spans="1:35" ht="15.75">
      <c r="A841" s="1"/>
      <c r="R841" s="2"/>
      <c r="S841" s="2"/>
      <c r="X841" s="3"/>
      <c r="Y841" s="3"/>
      <c r="Z841" s="3"/>
      <c r="AG841" s="2"/>
      <c r="AH841" s="2"/>
      <c r="AI841" s="2"/>
    </row>
    <row r="842" spans="1:35" ht="15.75">
      <c r="A842" s="1"/>
      <c r="R842" s="2"/>
      <c r="S842" s="2"/>
      <c r="X842" s="3"/>
      <c r="Y842" s="3"/>
      <c r="Z842" s="3"/>
      <c r="AG842" s="2"/>
      <c r="AH842" s="2"/>
      <c r="AI842" s="2"/>
    </row>
    <row r="843" spans="1:35" ht="15.75">
      <c r="A843" s="1"/>
      <c r="R843" s="2"/>
      <c r="S843" s="2"/>
      <c r="X843" s="3"/>
      <c r="Y843" s="3"/>
      <c r="Z843" s="3"/>
      <c r="AG843" s="2"/>
      <c r="AH843" s="2"/>
      <c r="AI843" s="2"/>
    </row>
    <row r="844" spans="1:35" ht="15.75">
      <c r="A844" s="1"/>
      <c r="R844" s="2"/>
      <c r="S844" s="2"/>
      <c r="X844" s="3"/>
      <c r="Y844" s="3"/>
      <c r="Z844" s="3"/>
      <c r="AG844" s="2"/>
      <c r="AH844" s="2"/>
      <c r="AI844" s="2"/>
    </row>
    <row r="845" spans="1:35" ht="15.75">
      <c r="A845" s="1"/>
      <c r="R845" s="2"/>
      <c r="S845" s="2"/>
      <c r="X845" s="3"/>
      <c r="Y845" s="3"/>
      <c r="Z845" s="3"/>
      <c r="AG845" s="2"/>
      <c r="AH845" s="2"/>
      <c r="AI845" s="2"/>
    </row>
    <row r="846" spans="1:35" ht="15.75">
      <c r="A846" s="1"/>
      <c r="R846" s="2"/>
      <c r="S846" s="2"/>
      <c r="X846" s="3"/>
      <c r="Y846" s="3"/>
      <c r="Z846" s="3"/>
      <c r="AG846" s="2"/>
      <c r="AH846" s="2"/>
      <c r="AI846" s="2"/>
    </row>
    <row r="847" spans="1:35" ht="15.75">
      <c r="A847" s="1"/>
      <c r="R847" s="2"/>
      <c r="S847" s="2"/>
      <c r="X847" s="3"/>
      <c r="Y847" s="3"/>
      <c r="Z847" s="3"/>
      <c r="AG847" s="2"/>
      <c r="AH847" s="2"/>
      <c r="AI847" s="2"/>
    </row>
    <row r="848" spans="1:35" ht="15.75">
      <c r="A848" s="1"/>
      <c r="R848" s="2"/>
      <c r="S848" s="2"/>
      <c r="X848" s="3"/>
      <c r="Y848" s="3"/>
      <c r="Z848" s="3"/>
      <c r="AG848" s="2"/>
      <c r="AH848" s="2"/>
      <c r="AI848" s="2"/>
    </row>
    <row r="849" spans="1:35" ht="15.75">
      <c r="A849" s="1"/>
      <c r="R849" s="2"/>
      <c r="S849" s="2"/>
      <c r="X849" s="3"/>
      <c r="Y849" s="3"/>
      <c r="Z849" s="3"/>
      <c r="AG849" s="2"/>
      <c r="AH849" s="2"/>
      <c r="AI849" s="2"/>
    </row>
    <row r="850" spans="1:35" ht="15.75">
      <c r="A850" s="1"/>
      <c r="R850" s="2"/>
      <c r="S850" s="2"/>
      <c r="X850" s="3"/>
      <c r="Y850" s="3"/>
      <c r="Z850" s="3"/>
      <c r="AG850" s="2"/>
      <c r="AH850" s="2"/>
      <c r="AI850" s="2"/>
    </row>
    <row r="851" spans="1:35" ht="15.75">
      <c r="A851" s="1"/>
      <c r="R851" s="2"/>
      <c r="S851" s="2"/>
      <c r="X851" s="3"/>
      <c r="Y851" s="3"/>
      <c r="Z851" s="3"/>
      <c r="AG851" s="2"/>
      <c r="AH851" s="2"/>
      <c r="AI851" s="2"/>
    </row>
    <row r="852" spans="1:35" ht="15.75">
      <c r="A852" s="1"/>
      <c r="R852" s="2"/>
      <c r="S852" s="2"/>
      <c r="X852" s="3"/>
      <c r="Y852" s="3"/>
      <c r="Z852" s="3"/>
      <c r="AG852" s="2"/>
      <c r="AH852" s="2"/>
      <c r="AI852" s="2"/>
    </row>
    <row r="853" spans="1:35" ht="15.75">
      <c r="A853" s="1"/>
      <c r="R853" s="2"/>
      <c r="S853" s="2"/>
      <c r="X853" s="3"/>
      <c r="Y853" s="3"/>
      <c r="Z853" s="3"/>
      <c r="AG853" s="2"/>
      <c r="AH853" s="2"/>
      <c r="AI853" s="2"/>
    </row>
    <row r="854" spans="1:35" ht="15.75">
      <c r="A854" s="1"/>
      <c r="R854" s="2"/>
      <c r="S854" s="2"/>
      <c r="X854" s="3"/>
      <c r="Y854" s="3"/>
      <c r="Z854" s="3"/>
      <c r="AG854" s="2"/>
      <c r="AH854" s="2"/>
      <c r="AI854" s="2"/>
    </row>
    <row r="855" spans="1:35" ht="15.75">
      <c r="A855" s="1"/>
      <c r="R855" s="2"/>
      <c r="S855" s="2"/>
      <c r="X855" s="3"/>
      <c r="Y855" s="3"/>
      <c r="Z855" s="3"/>
      <c r="AG855" s="2"/>
      <c r="AH855" s="2"/>
      <c r="AI855" s="2"/>
    </row>
    <row r="856" spans="1:35" ht="15.75">
      <c r="A856" s="1"/>
      <c r="R856" s="2"/>
      <c r="S856" s="2"/>
      <c r="X856" s="3"/>
      <c r="Y856" s="3"/>
      <c r="Z856" s="3"/>
      <c r="AG856" s="2"/>
      <c r="AH856" s="2"/>
      <c r="AI856" s="2"/>
    </row>
    <row r="857" spans="1:35" ht="15.75">
      <c r="A857" s="1"/>
      <c r="R857" s="2"/>
      <c r="S857" s="2"/>
      <c r="X857" s="3"/>
      <c r="Y857" s="3"/>
      <c r="Z857" s="3"/>
      <c r="AG857" s="2"/>
      <c r="AH857" s="2"/>
      <c r="AI857" s="2"/>
    </row>
    <row r="858" spans="1:35" ht="15.75">
      <c r="A858" s="1"/>
      <c r="R858" s="2"/>
      <c r="S858" s="2"/>
      <c r="X858" s="3"/>
      <c r="Y858" s="3"/>
      <c r="Z858" s="3"/>
      <c r="AG858" s="2"/>
      <c r="AH858" s="2"/>
      <c r="AI858" s="2"/>
    </row>
    <row r="859" spans="1:35" ht="15.75">
      <c r="A859" s="1"/>
      <c r="R859" s="2"/>
      <c r="S859" s="2"/>
      <c r="X859" s="3"/>
      <c r="Y859" s="3"/>
      <c r="Z859" s="3"/>
      <c r="AG859" s="2"/>
      <c r="AH859" s="2"/>
      <c r="AI859" s="2"/>
    </row>
    <row r="860" spans="1:35" ht="15.75">
      <c r="A860" s="1"/>
      <c r="R860" s="2"/>
      <c r="S860" s="2"/>
      <c r="X860" s="3"/>
      <c r="Y860" s="3"/>
      <c r="Z860" s="3"/>
      <c r="AG860" s="2"/>
      <c r="AH860" s="2"/>
      <c r="AI860" s="2"/>
    </row>
    <row r="861" spans="1:35" ht="15.75">
      <c r="A861" s="1"/>
      <c r="R861" s="2"/>
      <c r="S861" s="2"/>
      <c r="X861" s="3"/>
      <c r="Y861" s="3"/>
      <c r="Z861" s="3"/>
      <c r="AG861" s="2"/>
      <c r="AH861" s="2"/>
      <c r="AI861" s="2"/>
    </row>
    <row r="862" spans="1:35" ht="15.75">
      <c r="A862" s="1"/>
      <c r="R862" s="2"/>
      <c r="S862" s="2"/>
      <c r="X862" s="3"/>
      <c r="Y862" s="3"/>
      <c r="Z862" s="3"/>
      <c r="AG862" s="2"/>
      <c r="AH862" s="2"/>
      <c r="AI862" s="2"/>
    </row>
    <row r="863" spans="1:35" ht="15.75">
      <c r="A863" s="1"/>
      <c r="R863" s="2"/>
      <c r="S863" s="2"/>
      <c r="X863" s="3"/>
      <c r="Y863" s="3"/>
      <c r="Z863" s="3"/>
      <c r="AG863" s="2"/>
      <c r="AH863" s="2"/>
      <c r="AI863" s="2"/>
    </row>
    <row r="864" spans="1:35" ht="15.75">
      <c r="A864" s="1"/>
      <c r="R864" s="2"/>
      <c r="S864" s="2"/>
      <c r="X864" s="3"/>
      <c r="Y864" s="3"/>
      <c r="Z864" s="3"/>
      <c r="AG864" s="2"/>
      <c r="AH864" s="2"/>
      <c r="AI864" s="2"/>
    </row>
    <row r="865" spans="1:35" ht="15.75">
      <c r="A865" s="1"/>
      <c r="R865" s="2"/>
      <c r="S865" s="2"/>
      <c r="X865" s="3"/>
      <c r="Y865" s="3"/>
      <c r="Z865" s="3"/>
      <c r="AG865" s="2"/>
      <c r="AH865" s="2"/>
      <c r="AI865" s="2"/>
    </row>
    <row r="866" spans="1:35" ht="15.75">
      <c r="A866" s="1"/>
      <c r="R866" s="2"/>
      <c r="S866" s="2"/>
      <c r="X866" s="3"/>
      <c r="Y866" s="3"/>
      <c r="Z866" s="3"/>
      <c r="AG866" s="2"/>
      <c r="AH866" s="2"/>
      <c r="AI866" s="2"/>
    </row>
    <row r="867" spans="1:35" ht="15.75">
      <c r="A867" s="1"/>
      <c r="R867" s="2"/>
      <c r="S867" s="2"/>
      <c r="X867" s="3"/>
      <c r="Y867" s="3"/>
      <c r="Z867" s="3"/>
      <c r="AG867" s="2"/>
      <c r="AH867" s="2"/>
      <c r="AI867" s="2"/>
    </row>
    <row r="868" spans="1:35" ht="15.75">
      <c r="A868" s="1"/>
      <c r="R868" s="2"/>
      <c r="S868" s="2"/>
      <c r="X868" s="3"/>
      <c r="Y868" s="3"/>
      <c r="Z868" s="3"/>
      <c r="AG868" s="2"/>
      <c r="AH868" s="2"/>
      <c r="AI868" s="2"/>
    </row>
    <row r="869" spans="1:35" ht="15.75">
      <c r="A869" s="1"/>
      <c r="R869" s="2"/>
      <c r="S869" s="2"/>
      <c r="X869" s="3"/>
      <c r="Y869" s="3"/>
      <c r="Z869" s="3"/>
      <c r="AG869" s="2"/>
      <c r="AH869" s="2"/>
      <c r="AI869" s="2"/>
    </row>
    <row r="870" spans="1:35" ht="15.75">
      <c r="A870" s="1"/>
      <c r="R870" s="2"/>
      <c r="S870" s="2"/>
      <c r="X870" s="3"/>
      <c r="Y870" s="3"/>
      <c r="Z870" s="3"/>
      <c r="AG870" s="2"/>
      <c r="AH870" s="2"/>
      <c r="AI870" s="2"/>
    </row>
    <row r="871" spans="1:35" ht="15.75">
      <c r="A871" s="1"/>
      <c r="R871" s="2"/>
      <c r="S871" s="2"/>
      <c r="X871" s="3"/>
      <c r="Y871" s="3"/>
      <c r="Z871" s="3"/>
      <c r="AG871" s="2"/>
      <c r="AH871" s="2"/>
      <c r="AI871" s="2"/>
    </row>
    <row r="872" spans="1:35" ht="15.75">
      <c r="A872" s="1"/>
      <c r="R872" s="2"/>
      <c r="S872" s="2"/>
      <c r="X872" s="3"/>
      <c r="Y872" s="3"/>
      <c r="Z872" s="3"/>
      <c r="AG872" s="2"/>
      <c r="AH872" s="2"/>
      <c r="AI872" s="2"/>
    </row>
    <row r="873" spans="1:35" ht="15.75">
      <c r="A873" s="1"/>
      <c r="R873" s="2"/>
      <c r="S873" s="2"/>
      <c r="X873" s="3"/>
      <c r="Y873" s="3"/>
      <c r="Z873" s="3"/>
      <c r="AG873" s="2"/>
      <c r="AH873" s="2"/>
      <c r="AI873" s="2"/>
    </row>
    <row r="874" spans="1:35" ht="15.75">
      <c r="A874" s="1"/>
      <c r="R874" s="2"/>
      <c r="S874" s="2"/>
      <c r="X874" s="3"/>
      <c r="Y874" s="3"/>
      <c r="Z874" s="3"/>
      <c r="AG874" s="2"/>
      <c r="AH874" s="2"/>
      <c r="AI874" s="2"/>
    </row>
    <row r="875" spans="1:35" ht="15.75">
      <c r="A875" s="1"/>
      <c r="R875" s="2"/>
      <c r="S875" s="2"/>
      <c r="X875" s="3"/>
      <c r="Y875" s="3"/>
      <c r="Z875" s="3"/>
      <c r="AG875" s="2"/>
      <c r="AH875" s="2"/>
      <c r="AI875" s="2"/>
    </row>
    <row r="876" spans="1:35" ht="15.75">
      <c r="A876" s="1"/>
      <c r="R876" s="2"/>
      <c r="S876" s="2"/>
      <c r="X876" s="3"/>
      <c r="Y876" s="3"/>
      <c r="Z876" s="3"/>
      <c r="AG876" s="2"/>
      <c r="AH876" s="2"/>
      <c r="AI876" s="2"/>
    </row>
    <row r="877" spans="1:35" ht="15.75">
      <c r="A877" s="1"/>
      <c r="R877" s="2"/>
      <c r="S877" s="2"/>
      <c r="X877" s="3"/>
      <c r="Y877" s="3"/>
      <c r="Z877" s="3"/>
      <c r="AG877" s="2"/>
      <c r="AH877" s="2"/>
      <c r="AI877" s="2"/>
    </row>
    <row r="878" spans="1:35" ht="15.75">
      <c r="A878" s="1"/>
      <c r="R878" s="2"/>
      <c r="S878" s="2"/>
      <c r="X878" s="3"/>
      <c r="Y878" s="3"/>
      <c r="Z878" s="3"/>
      <c r="AG878" s="2"/>
      <c r="AH878" s="2"/>
      <c r="AI878" s="2"/>
    </row>
    <row r="879" spans="1:35" ht="15.75">
      <c r="A879" s="1"/>
      <c r="R879" s="2"/>
      <c r="S879" s="2"/>
      <c r="X879" s="3"/>
      <c r="Y879" s="3"/>
      <c r="Z879" s="3"/>
      <c r="AG879" s="2"/>
      <c r="AH879" s="2"/>
      <c r="AI879" s="2"/>
    </row>
    <row r="880" spans="1:35" ht="15.75">
      <c r="A880" s="1"/>
      <c r="R880" s="2"/>
      <c r="S880" s="2"/>
      <c r="X880" s="3"/>
      <c r="Y880" s="3"/>
      <c r="Z880" s="3"/>
      <c r="AG880" s="2"/>
      <c r="AH880" s="2"/>
      <c r="AI880" s="2"/>
    </row>
    <row r="881" spans="1:35" ht="15.75">
      <c r="A881" s="1"/>
      <c r="R881" s="2"/>
      <c r="S881" s="2"/>
      <c r="X881" s="3"/>
      <c r="Y881" s="3"/>
      <c r="Z881" s="3"/>
      <c r="AG881" s="2"/>
      <c r="AH881" s="2"/>
      <c r="AI881" s="2"/>
    </row>
    <row r="882" spans="1:35" ht="15.75">
      <c r="A882" s="1"/>
      <c r="R882" s="2"/>
      <c r="S882" s="2"/>
      <c r="X882" s="3"/>
      <c r="Y882" s="3"/>
      <c r="Z882" s="3"/>
      <c r="AG882" s="2"/>
      <c r="AH882" s="2"/>
      <c r="AI882" s="2"/>
    </row>
    <row r="883" spans="1:35" ht="15.75">
      <c r="A883" s="1"/>
      <c r="R883" s="2"/>
      <c r="S883" s="2"/>
      <c r="X883" s="3"/>
      <c r="Y883" s="3"/>
      <c r="Z883" s="3"/>
      <c r="AG883" s="2"/>
      <c r="AH883" s="2"/>
      <c r="AI883" s="2"/>
    </row>
    <row r="884" spans="1:35" ht="15.75">
      <c r="A884" s="1"/>
      <c r="R884" s="2"/>
      <c r="S884" s="2"/>
      <c r="X884" s="3"/>
      <c r="Y884" s="3"/>
      <c r="Z884" s="3"/>
      <c r="AG884" s="2"/>
      <c r="AH884" s="2"/>
      <c r="AI884" s="2"/>
    </row>
    <row r="885" spans="1:35" ht="15.75">
      <c r="A885" s="1"/>
      <c r="R885" s="2"/>
      <c r="S885" s="2"/>
      <c r="X885" s="3"/>
      <c r="Y885" s="3"/>
      <c r="Z885" s="3"/>
      <c r="AG885" s="2"/>
      <c r="AH885" s="2"/>
      <c r="AI885" s="2"/>
    </row>
    <row r="886" spans="1:35" ht="15.75">
      <c r="A886" s="1"/>
      <c r="R886" s="2"/>
      <c r="S886" s="2"/>
      <c r="X886" s="3"/>
      <c r="Y886" s="3"/>
      <c r="Z886" s="3"/>
      <c r="AG886" s="2"/>
      <c r="AH886" s="2"/>
      <c r="AI886" s="2"/>
    </row>
    <row r="887" spans="1:35" ht="15.75">
      <c r="A887" s="1"/>
      <c r="R887" s="2"/>
      <c r="S887" s="2"/>
      <c r="X887" s="3"/>
      <c r="Y887" s="3"/>
      <c r="Z887" s="3"/>
      <c r="AG887" s="2"/>
      <c r="AH887" s="2"/>
      <c r="AI887" s="2"/>
    </row>
    <row r="888" spans="1:35" ht="15.75">
      <c r="A888" s="1"/>
      <c r="R888" s="2"/>
      <c r="S888" s="2"/>
      <c r="X888" s="3"/>
      <c r="Y888" s="3"/>
      <c r="Z888" s="3"/>
      <c r="AG888" s="2"/>
      <c r="AH888" s="2"/>
      <c r="AI888" s="2"/>
    </row>
    <row r="889" spans="1:35" ht="15.75">
      <c r="A889" s="1"/>
      <c r="R889" s="2"/>
      <c r="S889" s="2"/>
      <c r="X889" s="3"/>
      <c r="Y889" s="3"/>
      <c r="Z889" s="3"/>
      <c r="AG889" s="2"/>
      <c r="AH889" s="2"/>
      <c r="AI889" s="2"/>
    </row>
    <row r="890" spans="1:35" ht="15.75">
      <c r="A890" s="1"/>
      <c r="R890" s="2"/>
      <c r="S890" s="2"/>
      <c r="X890" s="3"/>
      <c r="Y890" s="3"/>
      <c r="Z890" s="3"/>
      <c r="AG890" s="2"/>
      <c r="AH890" s="2"/>
      <c r="AI890" s="2"/>
    </row>
    <row r="891" spans="1:35" ht="15.75">
      <c r="A891" s="1"/>
      <c r="R891" s="2"/>
      <c r="S891" s="2"/>
      <c r="X891" s="3"/>
      <c r="Y891" s="3"/>
      <c r="Z891" s="3"/>
      <c r="AG891" s="2"/>
      <c r="AH891" s="2"/>
      <c r="AI891" s="2"/>
    </row>
    <row r="892" spans="1:35" ht="15.75">
      <c r="A892" s="1"/>
      <c r="R892" s="2"/>
      <c r="S892" s="2"/>
      <c r="X892" s="3"/>
      <c r="Y892" s="3"/>
      <c r="Z892" s="3"/>
      <c r="AG892" s="2"/>
      <c r="AH892" s="2"/>
      <c r="AI892" s="2"/>
    </row>
    <row r="893" spans="1:35" ht="15.75">
      <c r="A893" s="1"/>
      <c r="R893" s="2"/>
      <c r="S893" s="2"/>
      <c r="X893" s="3"/>
      <c r="Y893" s="3"/>
      <c r="Z893" s="3"/>
      <c r="AG893" s="2"/>
      <c r="AH893" s="2"/>
      <c r="AI893" s="2"/>
    </row>
    <row r="894" spans="1:35" ht="15.75">
      <c r="A894" s="1"/>
      <c r="R894" s="2"/>
      <c r="S894" s="2"/>
      <c r="X894" s="3"/>
      <c r="Y894" s="3"/>
      <c r="Z894" s="3"/>
      <c r="AG894" s="2"/>
      <c r="AH894" s="2"/>
      <c r="AI894" s="2"/>
    </row>
    <row r="895" spans="1:35" ht="15.75">
      <c r="A895" s="1"/>
      <c r="R895" s="2"/>
      <c r="S895" s="2"/>
      <c r="X895" s="3"/>
      <c r="Y895" s="3"/>
      <c r="Z895" s="3"/>
      <c r="AG895" s="2"/>
      <c r="AH895" s="2"/>
      <c r="AI895" s="2"/>
    </row>
    <row r="896" spans="1:35" ht="15.75">
      <c r="A896" s="1"/>
      <c r="R896" s="2"/>
      <c r="S896" s="2"/>
      <c r="X896" s="3"/>
      <c r="Y896" s="3"/>
      <c r="Z896" s="3"/>
      <c r="AG896" s="2"/>
      <c r="AH896" s="2"/>
      <c r="AI896" s="2"/>
    </row>
    <row r="897" spans="1:35" ht="15.75">
      <c r="A897" s="1"/>
      <c r="R897" s="2"/>
      <c r="S897" s="2"/>
      <c r="X897" s="3"/>
      <c r="Y897" s="3"/>
      <c r="Z897" s="3"/>
      <c r="AG897" s="2"/>
      <c r="AH897" s="2"/>
      <c r="AI897" s="2"/>
    </row>
    <row r="898" spans="1:35" ht="15.75">
      <c r="A898" s="1"/>
      <c r="R898" s="2"/>
      <c r="S898" s="2"/>
      <c r="X898" s="3"/>
      <c r="Y898" s="3"/>
      <c r="Z898" s="3"/>
      <c r="AG898" s="2"/>
      <c r="AH898" s="2"/>
      <c r="AI898" s="2"/>
    </row>
    <row r="899" spans="1:35" ht="15.75">
      <c r="A899" s="1"/>
      <c r="R899" s="2"/>
      <c r="S899" s="2"/>
      <c r="X899" s="3"/>
      <c r="Y899" s="3"/>
      <c r="Z899" s="3"/>
      <c r="AG899" s="2"/>
      <c r="AH899" s="2"/>
      <c r="AI899" s="2"/>
    </row>
    <row r="900" spans="1:35" ht="15.75">
      <c r="A900" s="1"/>
      <c r="R900" s="2"/>
      <c r="S900" s="2"/>
      <c r="X900" s="3"/>
      <c r="Y900" s="3"/>
      <c r="Z900" s="3"/>
      <c r="AG900" s="2"/>
      <c r="AH900" s="2"/>
      <c r="AI900" s="2"/>
    </row>
    <row r="901" spans="1:35" ht="15.75">
      <c r="A901" s="1"/>
      <c r="R901" s="2"/>
      <c r="S901" s="2"/>
      <c r="X901" s="3"/>
      <c r="Y901" s="3"/>
      <c r="Z901" s="3"/>
      <c r="AG901" s="2"/>
      <c r="AH901" s="2"/>
      <c r="AI901" s="2"/>
    </row>
    <row r="902" spans="1:35" ht="15.75">
      <c r="A902" s="1"/>
      <c r="R902" s="2"/>
      <c r="S902" s="2"/>
      <c r="X902" s="3"/>
      <c r="Y902" s="3"/>
      <c r="Z902" s="3"/>
      <c r="AG902" s="2"/>
      <c r="AH902" s="2"/>
      <c r="AI902" s="2"/>
    </row>
    <row r="903" spans="1:35" ht="15.75">
      <c r="A903" s="1"/>
      <c r="R903" s="2"/>
      <c r="S903" s="2"/>
      <c r="X903" s="3"/>
      <c r="Y903" s="3"/>
      <c r="Z903" s="3"/>
      <c r="AG903" s="2"/>
      <c r="AH903" s="2"/>
      <c r="AI903" s="2"/>
    </row>
    <row r="904" spans="1:35" ht="15.75">
      <c r="A904" s="1"/>
      <c r="R904" s="2"/>
      <c r="S904" s="2"/>
      <c r="X904" s="3"/>
      <c r="Y904" s="3"/>
      <c r="Z904" s="3"/>
      <c r="AG904" s="2"/>
      <c r="AH904" s="2"/>
      <c r="AI904" s="2"/>
    </row>
    <row r="905" spans="1:35" ht="15.75">
      <c r="A905" s="1"/>
      <c r="R905" s="2"/>
      <c r="S905" s="2"/>
      <c r="X905" s="3"/>
      <c r="Y905" s="3"/>
      <c r="Z905" s="3"/>
      <c r="AG905" s="2"/>
      <c r="AH905" s="2"/>
      <c r="AI905" s="2"/>
    </row>
    <row r="906" spans="1:35" ht="15.75">
      <c r="A906" s="1"/>
      <c r="R906" s="2"/>
      <c r="S906" s="2"/>
      <c r="X906" s="3"/>
      <c r="Y906" s="3"/>
      <c r="Z906" s="3"/>
      <c r="AG906" s="2"/>
      <c r="AH906" s="2"/>
      <c r="AI906" s="2"/>
    </row>
    <row r="907" spans="1:35" ht="15.75">
      <c r="A907" s="1"/>
      <c r="R907" s="2"/>
      <c r="S907" s="2"/>
      <c r="X907" s="3"/>
      <c r="Y907" s="3"/>
      <c r="Z907" s="3"/>
      <c r="AG907" s="2"/>
      <c r="AH907" s="2"/>
      <c r="AI907" s="2"/>
    </row>
    <row r="908" spans="1:35" ht="15.75">
      <c r="A908" s="1"/>
      <c r="R908" s="2"/>
      <c r="S908" s="2"/>
      <c r="X908" s="3"/>
      <c r="Y908" s="3"/>
      <c r="Z908" s="3"/>
      <c r="AG908" s="2"/>
      <c r="AH908" s="2"/>
      <c r="AI908" s="2"/>
    </row>
    <row r="909" spans="1:35" ht="15.75">
      <c r="A909" s="1"/>
      <c r="R909" s="2"/>
      <c r="S909" s="2"/>
      <c r="X909" s="3"/>
      <c r="Y909" s="3"/>
      <c r="Z909" s="3"/>
      <c r="AG909" s="2"/>
      <c r="AH909" s="2"/>
      <c r="AI909" s="2"/>
    </row>
    <row r="910" spans="1:35" ht="15.75">
      <c r="A910" s="1"/>
      <c r="R910" s="2"/>
      <c r="S910" s="2"/>
      <c r="X910" s="3"/>
      <c r="Y910" s="3"/>
      <c r="Z910" s="3"/>
      <c r="AG910" s="2"/>
      <c r="AH910" s="2"/>
      <c r="AI910" s="2"/>
    </row>
    <row r="911" spans="1:35" ht="15.75">
      <c r="A911" s="1"/>
      <c r="R911" s="2"/>
      <c r="S911" s="2"/>
      <c r="X911" s="3"/>
      <c r="Y911" s="3"/>
      <c r="Z911" s="3"/>
      <c r="AG911" s="2"/>
      <c r="AH911" s="2"/>
      <c r="AI911" s="2"/>
    </row>
    <row r="912" spans="1:35" ht="15.75">
      <c r="A912" s="1"/>
      <c r="R912" s="2"/>
      <c r="S912" s="2"/>
      <c r="X912" s="3"/>
      <c r="Y912" s="3"/>
      <c r="Z912" s="3"/>
      <c r="AG912" s="2"/>
      <c r="AH912" s="2"/>
      <c r="AI912" s="2"/>
    </row>
    <row r="913" spans="1:35" ht="15.75">
      <c r="A913" s="1"/>
      <c r="R913" s="2"/>
      <c r="S913" s="2"/>
      <c r="X913" s="3"/>
      <c r="Y913" s="3"/>
      <c r="Z913" s="3"/>
      <c r="AG913" s="2"/>
      <c r="AH913" s="2"/>
      <c r="AI913" s="2"/>
    </row>
    <row r="914" spans="1:35" ht="15.75">
      <c r="A914" s="1"/>
      <c r="R914" s="2"/>
      <c r="S914" s="2"/>
      <c r="X914" s="3"/>
      <c r="Y914" s="3"/>
      <c r="Z914" s="3"/>
      <c r="AG914" s="2"/>
      <c r="AH914" s="2"/>
      <c r="AI914" s="2"/>
    </row>
    <row r="915" spans="1:35" ht="15.75">
      <c r="A915" s="1"/>
      <c r="R915" s="2"/>
      <c r="S915" s="2"/>
      <c r="X915" s="3"/>
      <c r="Y915" s="3"/>
      <c r="Z915" s="3"/>
      <c r="AG915" s="2"/>
      <c r="AH915" s="2"/>
      <c r="AI915" s="2"/>
    </row>
    <row r="916" spans="1:35" ht="15.75">
      <c r="A916" s="1"/>
      <c r="R916" s="2"/>
      <c r="S916" s="2"/>
      <c r="X916" s="3"/>
      <c r="Y916" s="3"/>
      <c r="Z916" s="3"/>
      <c r="AG916" s="2"/>
      <c r="AH916" s="2"/>
      <c r="AI916" s="2"/>
    </row>
    <row r="917" spans="1:35" ht="15.75">
      <c r="A917" s="1"/>
      <c r="R917" s="2"/>
      <c r="S917" s="2"/>
      <c r="X917" s="3"/>
      <c r="Y917" s="3"/>
      <c r="Z917" s="3"/>
      <c r="AG917" s="2"/>
      <c r="AH917" s="2"/>
      <c r="AI917" s="2"/>
    </row>
    <row r="918" spans="1:35" ht="15.75">
      <c r="A918" s="1"/>
      <c r="R918" s="2"/>
      <c r="S918" s="2"/>
      <c r="X918" s="3"/>
      <c r="Y918" s="3"/>
      <c r="Z918" s="3"/>
      <c r="AG918" s="2"/>
      <c r="AH918" s="2"/>
      <c r="AI918" s="2"/>
    </row>
    <row r="919" spans="1:35" ht="15.75">
      <c r="A919" s="1"/>
      <c r="R919" s="2"/>
      <c r="S919" s="2"/>
      <c r="X919" s="3"/>
      <c r="Y919" s="3"/>
      <c r="Z919" s="3"/>
      <c r="AG919" s="2"/>
      <c r="AH919" s="2"/>
      <c r="AI919" s="2"/>
    </row>
    <row r="920" spans="1:35" ht="15.75">
      <c r="A920" s="1"/>
      <c r="R920" s="2"/>
      <c r="S920" s="2"/>
      <c r="X920" s="3"/>
      <c r="Y920" s="3"/>
      <c r="Z920" s="3"/>
      <c r="AG920" s="2"/>
      <c r="AH920" s="2"/>
      <c r="AI920" s="2"/>
    </row>
    <row r="921" spans="1:35" ht="15.75">
      <c r="A921" s="1"/>
      <c r="R921" s="2"/>
      <c r="S921" s="2"/>
      <c r="X921" s="3"/>
      <c r="Y921" s="3"/>
      <c r="Z921" s="3"/>
      <c r="AG921" s="2"/>
      <c r="AH921" s="2"/>
      <c r="AI921" s="2"/>
    </row>
    <row r="922" spans="1:35" ht="15.75">
      <c r="A922" s="1"/>
      <c r="R922" s="2"/>
      <c r="S922" s="2"/>
      <c r="X922" s="3"/>
      <c r="Y922" s="3"/>
      <c r="Z922" s="3"/>
      <c r="AG922" s="2"/>
      <c r="AH922" s="2"/>
      <c r="AI922" s="2"/>
    </row>
    <row r="923" spans="1:35" ht="15.75">
      <c r="A923" s="1"/>
      <c r="R923" s="2"/>
      <c r="S923" s="2"/>
      <c r="X923" s="3"/>
      <c r="Y923" s="3"/>
      <c r="Z923" s="3"/>
      <c r="AG923" s="2"/>
      <c r="AH923" s="2"/>
      <c r="AI923" s="2"/>
    </row>
    <row r="924" spans="1:35" ht="15.75">
      <c r="A924" s="1"/>
      <c r="R924" s="2"/>
      <c r="S924" s="2"/>
      <c r="X924" s="3"/>
      <c r="Y924" s="3"/>
      <c r="Z924" s="3"/>
      <c r="AG924" s="2"/>
      <c r="AH924" s="2"/>
      <c r="AI924" s="2"/>
    </row>
    <row r="925" spans="1:35" ht="15.75">
      <c r="A925" s="1"/>
      <c r="R925" s="2"/>
      <c r="S925" s="2"/>
      <c r="X925" s="3"/>
      <c r="Y925" s="3"/>
      <c r="Z925" s="3"/>
      <c r="AG925" s="2"/>
      <c r="AH925" s="2"/>
      <c r="AI925" s="2"/>
    </row>
    <row r="926" spans="1:35" ht="15.75">
      <c r="A926" s="1"/>
      <c r="R926" s="2"/>
      <c r="S926" s="2"/>
      <c r="X926" s="3"/>
      <c r="Y926" s="3"/>
      <c r="Z926" s="3"/>
      <c r="AG926" s="2"/>
      <c r="AH926" s="2"/>
      <c r="AI926" s="2"/>
    </row>
    <row r="927" spans="1:35" ht="15.75">
      <c r="A927" s="1"/>
      <c r="R927" s="2"/>
      <c r="S927" s="2"/>
      <c r="X927" s="3"/>
      <c r="Y927" s="3"/>
      <c r="Z927" s="3"/>
      <c r="AG927" s="2"/>
      <c r="AH927" s="2"/>
      <c r="AI927" s="2"/>
    </row>
    <row r="928" spans="1:35" ht="15.75">
      <c r="A928" s="1"/>
      <c r="R928" s="2"/>
      <c r="S928" s="2"/>
      <c r="X928" s="3"/>
      <c r="Y928" s="3"/>
      <c r="Z928" s="3"/>
      <c r="AG928" s="2"/>
      <c r="AH928" s="2"/>
      <c r="AI928" s="2"/>
    </row>
    <row r="929" spans="1:35" ht="15.75">
      <c r="A929" s="1"/>
      <c r="R929" s="2"/>
      <c r="S929" s="2"/>
      <c r="X929" s="3"/>
      <c r="Y929" s="3"/>
      <c r="Z929" s="3"/>
      <c r="AG929" s="2"/>
      <c r="AH929" s="2"/>
      <c r="AI929" s="2"/>
    </row>
    <row r="930" spans="1:35" ht="15.75">
      <c r="A930" s="1"/>
      <c r="R930" s="2"/>
      <c r="S930" s="2"/>
      <c r="X930" s="3"/>
      <c r="Y930" s="3"/>
      <c r="Z930" s="3"/>
      <c r="AG930" s="2"/>
      <c r="AH930" s="2"/>
      <c r="AI930" s="2"/>
    </row>
    <row r="931" spans="1:35" ht="15.75">
      <c r="A931" s="1"/>
      <c r="R931" s="2"/>
      <c r="S931" s="2"/>
      <c r="X931" s="3"/>
      <c r="Y931" s="3"/>
      <c r="Z931" s="3"/>
      <c r="AG931" s="2"/>
      <c r="AH931" s="2"/>
      <c r="AI931" s="2"/>
    </row>
    <row r="932" spans="1:35" ht="15.75">
      <c r="A932" s="1"/>
      <c r="R932" s="2"/>
      <c r="S932" s="2"/>
      <c r="X932" s="3"/>
      <c r="Y932" s="3"/>
      <c r="Z932" s="3"/>
      <c r="AG932" s="2"/>
      <c r="AH932" s="2"/>
      <c r="AI932" s="2"/>
    </row>
    <row r="933" spans="1:35" ht="15.75">
      <c r="A933" s="1"/>
      <c r="R933" s="2"/>
      <c r="S933" s="2"/>
      <c r="X933" s="3"/>
      <c r="Y933" s="3"/>
      <c r="Z933" s="3"/>
      <c r="AG933" s="2"/>
      <c r="AH933" s="2"/>
      <c r="AI933" s="2"/>
    </row>
    <row r="934" spans="1:35" ht="15.75">
      <c r="A934" s="1"/>
      <c r="R934" s="2"/>
      <c r="S934" s="2"/>
      <c r="X934" s="3"/>
      <c r="Y934" s="3"/>
      <c r="Z934" s="3"/>
      <c r="AG934" s="2"/>
      <c r="AH934" s="2"/>
      <c r="AI934" s="2"/>
    </row>
    <row r="935" spans="1:35" ht="15.75">
      <c r="A935" s="1"/>
      <c r="R935" s="2"/>
      <c r="S935" s="2"/>
      <c r="X935" s="3"/>
      <c r="Y935" s="3"/>
      <c r="Z935" s="3"/>
      <c r="AG935" s="2"/>
      <c r="AH935" s="2"/>
      <c r="AI935" s="2"/>
    </row>
    <row r="936" spans="1:35" ht="15.75">
      <c r="A936" s="1"/>
      <c r="R936" s="2"/>
      <c r="S936" s="2"/>
      <c r="X936" s="3"/>
      <c r="Y936" s="3"/>
      <c r="Z936" s="3"/>
      <c r="AG936" s="2"/>
      <c r="AH936" s="2"/>
      <c r="AI936" s="2"/>
    </row>
    <row r="937" spans="1:35" ht="15.75">
      <c r="A937" s="1"/>
      <c r="R937" s="2"/>
      <c r="S937" s="2"/>
      <c r="X937" s="3"/>
      <c r="Y937" s="3"/>
      <c r="Z937" s="3"/>
      <c r="AG937" s="2"/>
      <c r="AH937" s="2"/>
      <c r="AI937" s="2"/>
    </row>
    <row r="938" spans="1:35" ht="15.75">
      <c r="A938" s="1"/>
      <c r="R938" s="2"/>
      <c r="S938" s="2"/>
      <c r="X938" s="3"/>
      <c r="Y938" s="3"/>
      <c r="Z938" s="3"/>
      <c r="AG938" s="2"/>
      <c r="AH938" s="2"/>
      <c r="AI938" s="2"/>
    </row>
    <row r="939" spans="1:35" ht="15.75">
      <c r="A939" s="1"/>
      <c r="R939" s="2"/>
      <c r="S939" s="2"/>
      <c r="X939" s="3"/>
      <c r="Y939" s="3"/>
      <c r="Z939" s="3"/>
      <c r="AG939" s="2"/>
      <c r="AH939" s="2"/>
      <c r="AI939" s="2"/>
    </row>
    <row r="940" spans="1:35" ht="15.75">
      <c r="A940" s="1"/>
      <c r="R940" s="2"/>
      <c r="S940" s="2"/>
      <c r="X940" s="3"/>
      <c r="Y940" s="3"/>
      <c r="Z940" s="3"/>
      <c r="AG940" s="2"/>
      <c r="AH940" s="2"/>
      <c r="AI940" s="2"/>
    </row>
    <row r="941" spans="1:35" ht="15.75">
      <c r="A941" s="1"/>
      <c r="R941" s="2"/>
      <c r="S941" s="2"/>
      <c r="X941" s="3"/>
      <c r="Y941" s="3"/>
      <c r="Z941" s="3"/>
      <c r="AG941" s="2"/>
      <c r="AH941" s="2"/>
      <c r="AI941" s="2"/>
    </row>
    <row r="942" spans="1:35" ht="15.75">
      <c r="A942" s="1"/>
      <c r="R942" s="2"/>
      <c r="S942" s="2"/>
      <c r="X942" s="3"/>
      <c r="Y942" s="3"/>
      <c r="Z942" s="3"/>
      <c r="AG942" s="2"/>
      <c r="AH942" s="2"/>
      <c r="AI942" s="2"/>
    </row>
    <row r="943" spans="1:35" ht="15.75">
      <c r="A943" s="1"/>
      <c r="R943" s="2"/>
      <c r="S943" s="2"/>
      <c r="X943" s="3"/>
      <c r="Y943" s="3"/>
      <c r="Z943" s="3"/>
      <c r="AG943" s="2"/>
      <c r="AH943" s="2"/>
      <c r="AI943" s="2"/>
    </row>
    <row r="944" spans="1:35" ht="15.75">
      <c r="A944" s="1"/>
      <c r="R944" s="2"/>
      <c r="S944" s="2"/>
      <c r="X944" s="3"/>
      <c r="Y944" s="3"/>
      <c r="Z944" s="3"/>
      <c r="AG944" s="2"/>
      <c r="AH944" s="2"/>
      <c r="AI944" s="2"/>
    </row>
    <row r="945" spans="1:35" ht="15.75">
      <c r="A945" s="1"/>
      <c r="R945" s="2"/>
      <c r="S945" s="2"/>
      <c r="X945" s="3"/>
      <c r="Y945" s="3"/>
      <c r="Z945" s="3"/>
      <c r="AG945" s="2"/>
      <c r="AH945" s="2"/>
      <c r="AI945" s="2"/>
    </row>
    <row r="946" spans="1:35" ht="15.75">
      <c r="A946" s="1"/>
      <c r="R946" s="2"/>
      <c r="S946" s="2"/>
      <c r="X946" s="3"/>
      <c r="Y946" s="3"/>
      <c r="Z946" s="3"/>
      <c r="AG946" s="2"/>
      <c r="AH946" s="2"/>
      <c r="AI946" s="2"/>
    </row>
    <row r="947" spans="1:35" ht="15.75">
      <c r="A947" s="1"/>
      <c r="R947" s="2"/>
      <c r="S947" s="2"/>
      <c r="X947" s="3"/>
      <c r="Y947" s="3"/>
      <c r="Z947" s="3"/>
      <c r="AG947" s="2"/>
      <c r="AH947" s="2"/>
      <c r="AI947" s="2"/>
    </row>
    <row r="948" spans="1:35" ht="15.75">
      <c r="A948" s="1"/>
      <c r="R948" s="2"/>
      <c r="S948" s="2"/>
      <c r="X948" s="3"/>
      <c r="Y948" s="3"/>
      <c r="Z948" s="3"/>
      <c r="AG948" s="2"/>
      <c r="AH948" s="2"/>
      <c r="AI948" s="2"/>
    </row>
    <row r="949" spans="1:35" ht="15.75">
      <c r="A949" s="1"/>
      <c r="R949" s="2"/>
      <c r="S949" s="2"/>
      <c r="X949" s="3"/>
      <c r="Y949" s="3"/>
      <c r="Z949" s="3"/>
      <c r="AG949" s="2"/>
      <c r="AH949" s="2"/>
      <c r="AI949" s="2"/>
    </row>
    <row r="950" spans="1:35" ht="15.75">
      <c r="A950" s="1"/>
      <c r="R950" s="2"/>
      <c r="S950" s="2"/>
      <c r="X950" s="3"/>
      <c r="Y950" s="3"/>
      <c r="Z950" s="3"/>
      <c r="AG950" s="2"/>
      <c r="AH950" s="2"/>
      <c r="AI950" s="2"/>
    </row>
    <row r="951" spans="1:35" ht="15.75">
      <c r="A951" s="1"/>
      <c r="R951" s="2"/>
      <c r="S951" s="2"/>
      <c r="X951" s="3"/>
      <c r="Y951" s="3"/>
      <c r="Z951" s="3"/>
      <c r="AG951" s="2"/>
      <c r="AH951" s="2"/>
      <c r="AI951" s="2"/>
    </row>
    <row r="952" spans="1:35" ht="15.75">
      <c r="A952" s="1"/>
      <c r="R952" s="2"/>
      <c r="S952" s="2"/>
      <c r="X952" s="3"/>
      <c r="Y952" s="3"/>
      <c r="Z952" s="3"/>
      <c r="AG952" s="2"/>
      <c r="AH952" s="2"/>
      <c r="AI952" s="2"/>
    </row>
    <row r="953" spans="1:35" ht="15.75">
      <c r="A953" s="1"/>
      <c r="R953" s="2"/>
      <c r="S953" s="2"/>
      <c r="X953" s="3"/>
      <c r="Y953" s="3"/>
      <c r="Z953" s="3"/>
      <c r="AG953" s="2"/>
      <c r="AH953" s="2"/>
      <c r="AI953" s="2"/>
    </row>
    <row r="954" spans="1:35" ht="15.75">
      <c r="A954" s="1"/>
      <c r="R954" s="2"/>
      <c r="S954" s="2"/>
      <c r="X954" s="3"/>
      <c r="Y954" s="3"/>
      <c r="Z954" s="3"/>
      <c r="AG954" s="2"/>
      <c r="AH954" s="2"/>
      <c r="AI954" s="2"/>
    </row>
    <row r="955" spans="1:35" ht="15.75">
      <c r="A955" s="1"/>
      <c r="R955" s="2"/>
      <c r="S955" s="2"/>
      <c r="X955" s="3"/>
      <c r="Y955" s="3"/>
      <c r="Z955" s="3"/>
      <c r="AG955" s="2"/>
      <c r="AH955" s="2"/>
      <c r="AI955" s="2"/>
    </row>
    <row r="956" spans="1:35" ht="15.75">
      <c r="A956" s="1"/>
      <c r="R956" s="2"/>
      <c r="S956" s="2"/>
      <c r="X956" s="3"/>
      <c r="Y956" s="3"/>
      <c r="Z956" s="3"/>
      <c r="AG956" s="2"/>
      <c r="AH956" s="2"/>
      <c r="AI956" s="2"/>
    </row>
    <row r="957" spans="1:35" ht="15.75">
      <c r="A957" s="1"/>
      <c r="R957" s="2"/>
      <c r="S957" s="2"/>
      <c r="X957" s="3"/>
      <c r="Y957" s="3"/>
      <c r="Z957" s="3"/>
      <c r="AG957" s="2"/>
      <c r="AH957" s="2"/>
      <c r="AI957" s="2"/>
    </row>
    <row r="958" spans="1:35" ht="15.75">
      <c r="A958" s="1"/>
      <c r="R958" s="2"/>
      <c r="S958" s="2"/>
      <c r="X958" s="3"/>
      <c r="Y958" s="3"/>
      <c r="Z958" s="3"/>
      <c r="AG958" s="2"/>
      <c r="AH958" s="2"/>
      <c r="AI958" s="2"/>
    </row>
    <row r="959" spans="1:35" ht="15.75">
      <c r="A959" s="1"/>
      <c r="R959" s="2"/>
      <c r="S959" s="2"/>
      <c r="X959" s="3"/>
      <c r="Y959" s="3"/>
      <c r="Z959" s="3"/>
      <c r="AG959" s="2"/>
      <c r="AH959" s="2"/>
      <c r="AI959" s="2"/>
    </row>
    <row r="960" spans="1:35" ht="15.75">
      <c r="A960" s="1"/>
      <c r="R960" s="2"/>
      <c r="S960" s="2"/>
      <c r="X960" s="3"/>
      <c r="Y960" s="3"/>
      <c r="Z960" s="3"/>
      <c r="AG960" s="2"/>
      <c r="AH960" s="2"/>
      <c r="AI960" s="2"/>
    </row>
    <row r="961" spans="1:35" ht="15.75">
      <c r="A961" s="1"/>
      <c r="R961" s="2"/>
      <c r="S961" s="2"/>
      <c r="X961" s="3"/>
      <c r="Y961" s="3"/>
      <c r="Z961" s="3"/>
      <c r="AG961" s="2"/>
      <c r="AH961" s="2"/>
      <c r="AI961" s="2"/>
    </row>
    <row r="962" spans="1:35" ht="15.75">
      <c r="A962" s="1"/>
      <c r="R962" s="2"/>
      <c r="S962" s="2"/>
      <c r="X962" s="3"/>
      <c r="Y962" s="3"/>
      <c r="Z962" s="3"/>
      <c r="AG962" s="2"/>
      <c r="AH962" s="2"/>
      <c r="AI962" s="2"/>
    </row>
    <row r="963" spans="1:35" ht="15.75">
      <c r="A963" s="1"/>
      <c r="R963" s="2"/>
      <c r="S963" s="2"/>
      <c r="X963" s="3"/>
      <c r="Y963" s="3"/>
      <c r="Z963" s="3"/>
      <c r="AG963" s="2"/>
      <c r="AH963" s="2"/>
      <c r="AI963" s="2"/>
    </row>
    <row r="964" spans="1:35" ht="15.75">
      <c r="A964" s="1"/>
      <c r="R964" s="2"/>
      <c r="S964" s="2"/>
      <c r="X964" s="3"/>
      <c r="Y964" s="3"/>
      <c r="Z964" s="3"/>
      <c r="AG964" s="2"/>
      <c r="AH964" s="2"/>
      <c r="AI964" s="2"/>
    </row>
    <row r="965" spans="1:35" ht="15.75">
      <c r="A965" s="1"/>
      <c r="R965" s="2"/>
      <c r="S965" s="2"/>
      <c r="X965" s="3"/>
      <c r="Y965" s="3"/>
      <c r="Z965" s="3"/>
      <c r="AG965" s="2"/>
      <c r="AH965" s="2"/>
      <c r="AI965" s="2"/>
    </row>
    <row r="966" spans="1:35" ht="15.75">
      <c r="A966" s="1"/>
      <c r="R966" s="2"/>
      <c r="S966" s="2"/>
      <c r="X966" s="3"/>
      <c r="Y966" s="3"/>
      <c r="Z966" s="3"/>
      <c r="AG966" s="2"/>
      <c r="AH966" s="2"/>
      <c r="AI966" s="2"/>
    </row>
    <row r="967" spans="1:35" ht="15.75">
      <c r="A967" s="1"/>
      <c r="R967" s="2"/>
      <c r="S967" s="2"/>
      <c r="X967" s="3"/>
      <c r="Y967" s="3"/>
      <c r="Z967" s="3"/>
      <c r="AG967" s="2"/>
      <c r="AH967" s="2"/>
      <c r="AI967" s="2"/>
    </row>
    <row r="968" spans="1:35" ht="15.75">
      <c r="A968" s="1"/>
      <c r="R968" s="2"/>
      <c r="S968" s="2"/>
      <c r="X968" s="3"/>
      <c r="Y968" s="3"/>
      <c r="Z968" s="3"/>
      <c r="AG968" s="2"/>
      <c r="AH968" s="2"/>
      <c r="AI968" s="2"/>
    </row>
    <row r="969" spans="1:35" ht="15.75">
      <c r="A969" s="1"/>
      <c r="R969" s="2"/>
      <c r="S969" s="2"/>
      <c r="X969" s="3"/>
      <c r="Y969" s="3"/>
      <c r="Z969" s="3"/>
      <c r="AG969" s="2"/>
      <c r="AH969" s="2"/>
      <c r="AI969" s="2"/>
    </row>
    <row r="970" spans="1:35" ht="15.75">
      <c r="A970" s="1"/>
      <c r="R970" s="2"/>
      <c r="S970" s="2"/>
      <c r="X970" s="3"/>
      <c r="Y970" s="3"/>
      <c r="Z970" s="3"/>
      <c r="AG970" s="2"/>
      <c r="AH970" s="2"/>
      <c r="AI970" s="2"/>
    </row>
    <row r="971" spans="1:35" ht="15.75">
      <c r="A971" s="1"/>
      <c r="R971" s="2"/>
      <c r="S971" s="2"/>
      <c r="X971" s="3"/>
      <c r="Y971" s="3"/>
      <c r="Z971" s="3"/>
      <c r="AG971" s="2"/>
      <c r="AH971" s="2"/>
      <c r="AI971" s="2"/>
    </row>
    <row r="972" spans="1:35" ht="15.75">
      <c r="A972" s="1"/>
      <c r="R972" s="2"/>
      <c r="S972" s="2"/>
      <c r="X972" s="3"/>
      <c r="Y972" s="3"/>
      <c r="Z972" s="3"/>
      <c r="AG972" s="2"/>
      <c r="AH972" s="2"/>
      <c r="AI972" s="2"/>
    </row>
    <row r="973" spans="1:35" ht="15.75">
      <c r="A973" s="1"/>
      <c r="R973" s="2"/>
      <c r="S973" s="2"/>
      <c r="X973" s="3"/>
      <c r="Y973" s="3"/>
      <c r="Z973" s="3"/>
      <c r="AG973" s="2"/>
      <c r="AH973" s="2"/>
      <c r="AI973" s="2"/>
    </row>
    <row r="974" spans="1:35" ht="15.75">
      <c r="A974" s="1"/>
      <c r="R974" s="2"/>
      <c r="S974" s="2"/>
      <c r="X974" s="3"/>
      <c r="Y974" s="3"/>
      <c r="Z974" s="3"/>
      <c r="AG974" s="2"/>
      <c r="AH974" s="2"/>
      <c r="AI974" s="2"/>
    </row>
    <row r="975" spans="1:35" ht="15.75">
      <c r="A975" s="1"/>
      <c r="R975" s="2"/>
      <c r="S975" s="2"/>
      <c r="X975" s="3"/>
      <c r="Y975" s="3"/>
      <c r="Z975" s="3"/>
      <c r="AG975" s="2"/>
      <c r="AH975" s="2"/>
      <c r="AI975" s="2"/>
    </row>
    <row r="976" spans="1:35" ht="15.75">
      <c r="A976" s="1"/>
      <c r="R976" s="2"/>
      <c r="S976" s="2"/>
      <c r="X976" s="3"/>
      <c r="Y976" s="3"/>
      <c r="Z976" s="3"/>
      <c r="AG976" s="2"/>
      <c r="AH976" s="2"/>
      <c r="AI976" s="2"/>
    </row>
    <row r="977" spans="1:35" ht="15.75">
      <c r="A977" s="1"/>
      <c r="R977" s="2"/>
      <c r="S977" s="2"/>
      <c r="X977" s="3"/>
      <c r="Y977" s="3"/>
      <c r="Z977" s="3"/>
      <c r="AG977" s="2"/>
      <c r="AH977" s="2"/>
      <c r="AI977" s="2"/>
    </row>
    <row r="978" spans="1:35" ht="15.75">
      <c r="A978" s="1"/>
      <c r="R978" s="2"/>
      <c r="S978" s="2"/>
      <c r="X978" s="3"/>
      <c r="Y978" s="3"/>
      <c r="Z978" s="3"/>
      <c r="AG978" s="2"/>
      <c r="AH978" s="2"/>
      <c r="AI978" s="2"/>
    </row>
    <row r="979" spans="1:35" ht="15.75">
      <c r="A979" s="1"/>
      <c r="R979" s="2"/>
      <c r="S979" s="2"/>
      <c r="X979" s="3"/>
      <c r="Y979" s="3"/>
      <c r="Z979" s="3"/>
      <c r="AG979" s="2"/>
      <c r="AH979" s="2"/>
      <c r="AI979" s="2"/>
    </row>
    <row r="980" spans="1:35" ht="15.75">
      <c r="A980" s="1"/>
      <c r="R980" s="2"/>
      <c r="S980" s="2"/>
      <c r="X980" s="3"/>
      <c r="Y980" s="3"/>
      <c r="Z980" s="3"/>
      <c r="AG980" s="2"/>
      <c r="AH980" s="2"/>
      <c r="AI980" s="2"/>
    </row>
    <row r="981" spans="1:35" ht="15.75">
      <c r="A981" s="1"/>
      <c r="R981" s="2"/>
      <c r="S981" s="2"/>
      <c r="X981" s="3"/>
      <c r="Y981" s="3"/>
      <c r="Z981" s="3"/>
      <c r="AG981" s="2"/>
      <c r="AH981" s="2"/>
      <c r="AI981" s="2"/>
    </row>
    <row r="982" spans="1:35" ht="15.75">
      <c r="A982" s="1"/>
      <c r="R982" s="2"/>
      <c r="S982" s="2"/>
      <c r="X982" s="3"/>
      <c r="Y982" s="3"/>
      <c r="Z982" s="3"/>
      <c r="AG982" s="2"/>
      <c r="AH982" s="2"/>
      <c r="AI982" s="2"/>
    </row>
    <row r="983" spans="1:35" ht="15.75">
      <c r="A983" s="1"/>
      <c r="R983" s="2"/>
      <c r="S983" s="2"/>
      <c r="X983" s="3"/>
      <c r="Y983" s="3"/>
      <c r="Z983" s="3"/>
      <c r="AG983" s="2"/>
      <c r="AH983" s="2"/>
      <c r="AI983" s="2"/>
    </row>
    <row r="984" spans="1:35" ht="15.75">
      <c r="A984" s="1"/>
      <c r="R984" s="2"/>
      <c r="S984" s="2"/>
      <c r="X984" s="3"/>
      <c r="Y984" s="3"/>
      <c r="Z984" s="3"/>
      <c r="AG984" s="2"/>
      <c r="AH984" s="2"/>
      <c r="AI984" s="2"/>
    </row>
    <row r="985" spans="1:35" ht="15.75">
      <c r="A985" s="1"/>
      <c r="R985" s="2"/>
      <c r="S985" s="2"/>
      <c r="X985" s="3"/>
      <c r="Y985" s="3"/>
      <c r="Z985" s="3"/>
      <c r="AG985" s="2"/>
      <c r="AH985" s="2"/>
      <c r="AI985" s="2"/>
    </row>
    <row r="986" spans="1:35" ht="15.75">
      <c r="A986" s="1"/>
      <c r="R986" s="2"/>
      <c r="S986" s="2"/>
      <c r="X986" s="3"/>
      <c r="Y986" s="3"/>
      <c r="Z986" s="3"/>
      <c r="AG986" s="2"/>
      <c r="AH986" s="2"/>
      <c r="AI986" s="2"/>
    </row>
    <row r="987" spans="1:35" ht="15.75">
      <c r="A987" s="1"/>
      <c r="R987" s="2"/>
      <c r="S987" s="2"/>
      <c r="X987" s="3"/>
      <c r="Y987" s="3"/>
      <c r="Z987" s="3"/>
      <c r="AG987" s="2"/>
      <c r="AH987" s="2"/>
      <c r="AI987" s="2"/>
    </row>
    <row r="988" spans="1:35" ht="15.75">
      <c r="A988" s="1"/>
      <c r="R988" s="2"/>
      <c r="S988" s="2"/>
      <c r="X988" s="3"/>
      <c r="Y988" s="3"/>
      <c r="Z988" s="3"/>
      <c r="AG988" s="2"/>
      <c r="AH988" s="2"/>
      <c r="AI988" s="2"/>
    </row>
    <row r="989" spans="1:35" ht="15.75">
      <c r="A989" s="1"/>
      <c r="R989" s="2"/>
      <c r="S989" s="2"/>
      <c r="X989" s="3"/>
      <c r="Y989" s="3"/>
      <c r="Z989" s="3"/>
      <c r="AG989" s="2"/>
      <c r="AH989" s="2"/>
      <c r="AI989" s="2"/>
    </row>
    <row r="990" spans="1:35" ht="15.75">
      <c r="A990" s="1"/>
      <c r="R990" s="2"/>
      <c r="S990" s="2"/>
      <c r="X990" s="3"/>
      <c r="Y990" s="3"/>
      <c r="Z990" s="3"/>
      <c r="AG990" s="2"/>
      <c r="AH990" s="2"/>
      <c r="AI990" s="2"/>
    </row>
    <row r="991" spans="1:35" ht="15.75">
      <c r="A991" s="1"/>
      <c r="R991" s="2"/>
      <c r="S991" s="2"/>
      <c r="X991" s="3"/>
      <c r="Y991" s="3"/>
      <c r="Z991" s="3"/>
      <c r="AG991" s="2"/>
      <c r="AH991" s="2"/>
      <c r="AI991" s="2"/>
    </row>
    <row r="992" spans="1:35" ht="15.75">
      <c r="A992" s="1"/>
      <c r="R992" s="2"/>
      <c r="S992" s="2"/>
      <c r="X992" s="3"/>
      <c r="Y992" s="3"/>
      <c r="Z992" s="3"/>
      <c r="AG992" s="2"/>
      <c r="AH992" s="2"/>
      <c r="AI992" s="2"/>
    </row>
    <row r="993" spans="1:35" ht="15.75">
      <c r="A993" s="1"/>
      <c r="R993" s="2"/>
      <c r="S993" s="2"/>
      <c r="X993" s="3"/>
      <c r="Y993" s="3"/>
      <c r="Z993" s="3"/>
      <c r="AG993" s="2"/>
      <c r="AH993" s="2"/>
      <c r="AI993" s="2"/>
    </row>
    <row r="994" spans="1:35" ht="15.75">
      <c r="A994" s="1"/>
      <c r="R994" s="2"/>
      <c r="S994" s="2"/>
      <c r="X994" s="3"/>
      <c r="Y994" s="3"/>
      <c r="Z994" s="3"/>
      <c r="AG994" s="2"/>
      <c r="AH994" s="2"/>
      <c r="AI994" s="2"/>
    </row>
    <row r="995" spans="1:35" ht="15.75">
      <c r="A995" s="1"/>
      <c r="R995" s="2"/>
      <c r="S995" s="2"/>
      <c r="X995" s="3"/>
      <c r="Y995" s="3"/>
      <c r="Z995" s="3"/>
      <c r="AG995" s="2"/>
      <c r="AH995" s="2"/>
      <c r="AI995" s="2"/>
    </row>
    <row r="996" spans="1:35" ht="15.75">
      <c r="A996" s="1"/>
      <c r="R996" s="2"/>
      <c r="S996" s="2"/>
      <c r="X996" s="3"/>
      <c r="Y996" s="3"/>
      <c r="Z996" s="3"/>
      <c r="AG996" s="2"/>
      <c r="AH996" s="2"/>
      <c r="AI996" s="2"/>
    </row>
    <row r="997" spans="1:35" ht="15.75">
      <c r="A997" s="1"/>
      <c r="R997" s="2"/>
      <c r="S997" s="2"/>
      <c r="X997" s="3"/>
      <c r="Y997" s="3"/>
      <c r="Z997" s="3"/>
      <c r="AG997" s="2"/>
      <c r="AH997" s="2"/>
      <c r="AI997" s="2"/>
    </row>
    <row r="998" spans="1:35" ht="15.75">
      <c r="A998" s="1"/>
      <c r="R998" s="2"/>
      <c r="S998" s="2"/>
      <c r="X998" s="3"/>
      <c r="Y998" s="3"/>
      <c r="Z998" s="3"/>
      <c r="AG998" s="2"/>
      <c r="AH998" s="2"/>
      <c r="AI998" s="2"/>
    </row>
    <row r="999" spans="1:35" ht="15.75">
      <c r="A999" s="1"/>
      <c r="R999" s="2"/>
      <c r="S999" s="2"/>
      <c r="X999" s="3"/>
      <c r="Y999" s="3"/>
      <c r="Z999" s="3"/>
      <c r="AG999" s="2"/>
      <c r="AH999" s="2"/>
      <c r="AI999" s="2"/>
    </row>
    <row r="1000" spans="1:35" ht="15.75">
      <c r="A1000" s="1"/>
      <c r="R1000" s="2"/>
      <c r="S1000" s="2"/>
      <c r="X1000" s="3"/>
      <c r="Y1000" s="3"/>
      <c r="Z1000" s="3"/>
      <c r="AG1000" s="2"/>
      <c r="AH1000" s="2"/>
      <c r="AI1000" s="2"/>
    </row>
  </sheetData>
  <sheetProtection/>
  <autoFilter ref="A23:AI123"/>
  <mergeCells count="12">
    <mergeCell ref="B21:G22"/>
    <mergeCell ref="E5:E7"/>
    <mergeCell ref="F16:G19"/>
    <mergeCell ref="F14:G15"/>
    <mergeCell ref="F11:G13"/>
    <mergeCell ref="F5:G7"/>
    <mergeCell ref="F8:G10"/>
    <mergeCell ref="C18:D19"/>
    <mergeCell ref="A1:D1"/>
    <mergeCell ref="A3:D3"/>
    <mergeCell ref="A5:D14"/>
    <mergeCell ref="A15:B15"/>
  </mergeCells>
  <hyperlinks>
    <hyperlink ref="AD45" r:id="rId1" display="https://www.waitrose.com/ecom/products/waitrose-physalis/088241-45208-45209"/>
  </hyperlinks>
  <printOptions/>
  <pageMargins left="0.7" right="0.7" top="0.75" bottom="0.75" header="0" footer="0"/>
  <pageSetup horizontalDpi="600" verticalDpi="600" orientation="landscape" r:id="rId3"/>
  <drawing r:id="rId2"/>
</worksheet>
</file>

<file path=xl/worksheets/sheet3.xml><?xml version="1.0" encoding="utf-8"?>
<worksheet xmlns="http://schemas.openxmlformats.org/spreadsheetml/2006/main" xmlns:r="http://schemas.openxmlformats.org/officeDocument/2006/relationships">
  <dimension ref="A1:AF1000"/>
  <sheetViews>
    <sheetView zoomScale="70" zoomScaleNormal="70" zoomScalePageLayoutView="0" workbookViewId="0" topLeftCell="A9">
      <selection activeCell="AD24" sqref="AD24"/>
    </sheetView>
  </sheetViews>
  <sheetFormatPr defaultColWidth="14.421875" defaultRowHeight="15" customHeight="1"/>
  <cols>
    <col min="1" max="1" width="20.7109375" style="2" customWidth="1"/>
    <col min="2" max="2" width="18.421875" style="2" customWidth="1"/>
    <col min="3" max="3" width="21.7109375" style="2" customWidth="1"/>
    <col min="4" max="7" width="18.140625" style="2" customWidth="1"/>
    <col min="8" max="9" width="12.8515625" style="2" customWidth="1"/>
    <col min="10" max="20" width="8.7109375" style="2" hidden="1" customWidth="1"/>
    <col min="21" max="21" width="11.8515625" style="2" hidden="1" customWidth="1"/>
    <col min="22" max="22" width="14.57421875" style="2" hidden="1" customWidth="1"/>
    <col min="23" max="23" width="9.140625" style="2" hidden="1" customWidth="1"/>
    <col min="24" max="25" width="8.7109375" style="2" customWidth="1"/>
    <col min="26" max="26" width="8.7109375" style="23" customWidth="1"/>
    <col min="27" max="29" width="9.140625" style="2" customWidth="1"/>
    <col min="30" max="32" width="8.00390625" style="2" customWidth="1"/>
    <col min="33" max="16384" width="14.421875" style="2" customWidth="1"/>
  </cols>
  <sheetData>
    <row r="1" spans="1:5" s="23" customFormat="1" ht="15" customHeight="1" thickBot="1">
      <c r="A1" s="99" t="s">
        <v>154</v>
      </c>
      <c r="B1" s="100"/>
      <c r="C1" s="100"/>
      <c r="D1" s="100"/>
      <c r="E1" s="101"/>
    </row>
    <row r="2" spans="1:5" s="23" customFormat="1" ht="15" customHeight="1">
      <c r="A2" s="63"/>
      <c r="B2" s="63"/>
      <c r="C2" s="63"/>
      <c r="D2" s="63"/>
      <c r="E2" s="63"/>
    </row>
    <row r="3" spans="1:7" ht="15" customHeight="1">
      <c r="A3" s="102" t="s">
        <v>0</v>
      </c>
      <c r="B3" s="103"/>
      <c r="C3" s="103"/>
      <c r="D3" s="103"/>
      <c r="E3" s="23"/>
      <c r="F3" s="23"/>
      <c r="G3" s="23"/>
    </row>
    <row r="4" spans="1:26" s="28" customFormat="1" ht="15.75" customHeight="1">
      <c r="A4" s="31"/>
      <c r="B4" s="31"/>
      <c r="C4" s="31"/>
      <c r="D4" s="31"/>
      <c r="E4" s="30"/>
      <c r="F4" s="30"/>
      <c r="G4" s="26"/>
      <c r="H4" s="27"/>
      <c r="I4" s="27"/>
      <c r="V4" s="29"/>
      <c r="W4" s="29"/>
      <c r="X4" s="29"/>
      <c r="Y4" s="29"/>
      <c r="Z4" s="49"/>
    </row>
    <row r="5" spans="1:26" ht="15" customHeight="1">
      <c r="A5" s="104" t="s">
        <v>148</v>
      </c>
      <c r="B5" s="105"/>
      <c r="C5" s="105"/>
      <c r="D5" s="105"/>
      <c r="E5" s="93"/>
      <c r="F5" s="85"/>
      <c r="G5" s="85"/>
      <c r="H5" s="4"/>
      <c r="I5" s="4"/>
      <c r="V5" s="3"/>
      <c r="W5" s="3"/>
      <c r="X5" s="3"/>
      <c r="Y5" s="3"/>
      <c r="Z5" s="50"/>
    </row>
    <row r="6" spans="1:26" ht="15" customHeight="1">
      <c r="A6" s="105"/>
      <c r="B6" s="106"/>
      <c r="C6" s="106"/>
      <c r="D6" s="106"/>
      <c r="E6" s="93"/>
      <c r="F6" s="85"/>
      <c r="G6" s="85"/>
      <c r="H6" s="4"/>
      <c r="I6" s="4"/>
      <c r="V6" s="3"/>
      <c r="W6" s="3"/>
      <c r="X6" s="3"/>
      <c r="Y6" s="3"/>
      <c r="Z6" s="50"/>
    </row>
    <row r="7" spans="1:26" ht="15" customHeight="1">
      <c r="A7" s="105"/>
      <c r="B7" s="106"/>
      <c r="C7" s="106"/>
      <c r="D7" s="106"/>
      <c r="E7" s="93"/>
      <c r="F7" s="85"/>
      <c r="G7" s="85"/>
      <c r="H7" s="4"/>
      <c r="I7" s="4"/>
      <c r="V7" s="3"/>
      <c r="W7" s="3"/>
      <c r="X7" s="3"/>
      <c r="Y7" s="3"/>
      <c r="Z7" s="50"/>
    </row>
    <row r="8" spans="1:26" ht="15" customHeight="1">
      <c r="A8" s="105"/>
      <c r="B8" s="106"/>
      <c r="C8" s="106"/>
      <c r="D8" s="106"/>
      <c r="E8" s="23"/>
      <c r="F8" s="96"/>
      <c r="G8" s="96"/>
      <c r="H8" s="4"/>
      <c r="I8" s="4"/>
      <c r="V8" s="3"/>
      <c r="W8" s="3"/>
      <c r="X8" s="3"/>
      <c r="Y8" s="3"/>
      <c r="Z8" s="50"/>
    </row>
    <row r="9" spans="1:26" ht="15" customHeight="1">
      <c r="A9" s="105"/>
      <c r="B9" s="106"/>
      <c r="C9" s="106"/>
      <c r="D9" s="106"/>
      <c r="E9" s="23"/>
      <c r="F9" s="96"/>
      <c r="G9" s="96"/>
      <c r="H9" s="4"/>
      <c r="I9" s="4"/>
      <c r="V9" s="3"/>
      <c r="W9" s="3"/>
      <c r="X9" s="3"/>
      <c r="Y9" s="3"/>
      <c r="Z9" s="50"/>
    </row>
    <row r="10" spans="1:26" ht="15" customHeight="1">
      <c r="A10" s="105"/>
      <c r="B10" s="106"/>
      <c r="C10" s="106"/>
      <c r="D10" s="106"/>
      <c r="E10" s="23"/>
      <c r="F10" s="96"/>
      <c r="G10" s="96"/>
      <c r="H10" s="4"/>
      <c r="I10" s="4"/>
      <c r="V10" s="3"/>
      <c r="W10" s="3"/>
      <c r="X10" s="3"/>
      <c r="Y10" s="3"/>
      <c r="Z10" s="50"/>
    </row>
    <row r="11" spans="1:26" ht="15.75" customHeight="1">
      <c r="A11" s="105"/>
      <c r="B11" s="106"/>
      <c r="C11" s="106"/>
      <c r="D11" s="106"/>
      <c r="E11" s="23"/>
      <c r="F11" s="112"/>
      <c r="G11" s="112"/>
      <c r="H11" s="4"/>
      <c r="I11" s="4"/>
      <c r="V11" s="3"/>
      <c r="W11" s="3"/>
      <c r="X11" s="3"/>
      <c r="Y11" s="3"/>
      <c r="Z11" s="50"/>
    </row>
    <row r="12" spans="1:26" ht="25.5" customHeight="1">
      <c r="A12" s="105"/>
      <c r="B12" s="106"/>
      <c r="C12" s="106"/>
      <c r="D12" s="106"/>
      <c r="E12" s="23"/>
      <c r="F12" s="112"/>
      <c r="G12" s="112"/>
      <c r="H12" s="4"/>
      <c r="I12" s="4"/>
      <c r="V12" s="3"/>
      <c r="W12" s="3"/>
      <c r="X12" s="3"/>
      <c r="Y12" s="3"/>
      <c r="Z12" s="50"/>
    </row>
    <row r="13" spans="1:26" ht="15.75" customHeight="1">
      <c r="A13" s="105"/>
      <c r="B13" s="106"/>
      <c r="C13" s="106"/>
      <c r="D13" s="106"/>
      <c r="E13" s="23"/>
      <c r="F13" s="112"/>
      <c r="G13" s="112"/>
      <c r="H13" s="4"/>
      <c r="I13" s="4"/>
      <c r="V13" s="3"/>
      <c r="W13" s="3"/>
      <c r="X13" s="3"/>
      <c r="Y13" s="3"/>
      <c r="Z13" s="50"/>
    </row>
    <row r="14" spans="1:26" ht="55.5" customHeight="1">
      <c r="A14" s="105"/>
      <c r="B14" s="106"/>
      <c r="C14" s="106"/>
      <c r="D14" s="106"/>
      <c r="E14" s="23"/>
      <c r="F14" s="112"/>
      <c r="G14" s="112"/>
      <c r="H14" s="4"/>
      <c r="I14" s="4"/>
      <c r="V14" s="3"/>
      <c r="W14" s="3"/>
      <c r="X14" s="3"/>
      <c r="Y14" s="3"/>
      <c r="Z14" s="50"/>
    </row>
    <row r="15" spans="1:25" ht="42" customHeight="1">
      <c r="A15" s="107" t="s">
        <v>1</v>
      </c>
      <c r="B15" s="108"/>
      <c r="C15" s="3"/>
      <c r="D15" s="19"/>
      <c r="E15" s="19"/>
      <c r="F15" s="112"/>
      <c r="G15" s="112"/>
      <c r="H15" s="3"/>
      <c r="I15" s="23"/>
      <c r="U15" s="3"/>
      <c r="V15" s="3"/>
      <c r="W15" s="3"/>
      <c r="X15" s="3"/>
      <c r="Y15" s="3"/>
    </row>
    <row r="16" spans="1:25" ht="15.75" customHeight="1">
      <c r="A16" s="6" t="s">
        <v>2</v>
      </c>
      <c r="B16" s="7"/>
      <c r="C16" s="3"/>
      <c r="D16" s="19"/>
      <c r="E16" s="19"/>
      <c r="F16" s="111" t="s">
        <v>149</v>
      </c>
      <c r="G16" s="111"/>
      <c r="H16" s="3"/>
      <c r="I16" s="23"/>
      <c r="U16" s="3"/>
      <c r="V16" s="3"/>
      <c r="W16" s="3"/>
      <c r="X16" s="3"/>
      <c r="Y16" s="3"/>
    </row>
    <row r="17" spans="1:25" ht="15.75" customHeight="1">
      <c r="A17" s="6" t="s">
        <v>3</v>
      </c>
      <c r="B17" s="8"/>
      <c r="D17" s="19"/>
      <c r="E17" s="19"/>
      <c r="F17" s="111"/>
      <c r="G17" s="111"/>
      <c r="H17" s="3"/>
      <c r="I17" s="23"/>
      <c r="U17" s="3"/>
      <c r="V17" s="3"/>
      <c r="W17" s="3"/>
      <c r="X17" s="3"/>
      <c r="Y17" s="3"/>
    </row>
    <row r="18" spans="1:25" ht="15.75" customHeight="1">
      <c r="A18" s="6" t="s">
        <v>4</v>
      </c>
      <c r="B18" s="9">
        <f>SUM(P24:P123)</f>
        <v>0</v>
      </c>
      <c r="C18" s="97" t="s">
        <v>145</v>
      </c>
      <c r="D18" s="98"/>
      <c r="E18" s="19"/>
      <c r="F18" s="111"/>
      <c r="G18" s="111"/>
      <c r="H18" s="3"/>
      <c r="I18" s="23"/>
      <c r="U18" s="3"/>
      <c r="V18" s="3"/>
      <c r="W18" s="3"/>
      <c r="X18" s="3"/>
      <c r="Y18" s="3"/>
    </row>
    <row r="19" spans="1:25" ht="15.75" customHeight="1">
      <c r="A19" s="6" t="s">
        <v>5</v>
      </c>
      <c r="B19" s="9">
        <f>SUM(Q24:Q123)</f>
        <v>0</v>
      </c>
      <c r="C19" s="97"/>
      <c r="D19" s="98"/>
      <c r="E19" s="19"/>
      <c r="F19" s="111"/>
      <c r="G19" s="111"/>
      <c r="H19" s="3"/>
      <c r="I19" s="23"/>
      <c r="U19" s="3"/>
      <c r="V19" s="3"/>
      <c r="W19" s="3"/>
      <c r="X19" s="3"/>
      <c r="Y19" s="3"/>
    </row>
    <row r="20" spans="1:25" ht="15.75" customHeight="1">
      <c r="A20" s="6" t="s">
        <v>6</v>
      </c>
      <c r="B20" s="10">
        <f>IF(B18&gt;0,B19/B18,"")</f>
      </c>
      <c r="C20" s="34" t="e">
        <f>100%-B20</f>
        <v>#VALUE!</v>
      </c>
      <c r="D20" s="33"/>
      <c r="E20" s="20"/>
      <c r="F20" s="20"/>
      <c r="G20" s="3"/>
      <c r="H20" s="3"/>
      <c r="I20" s="23"/>
      <c r="U20" s="3"/>
      <c r="V20" s="3"/>
      <c r="W20" s="3"/>
      <c r="X20" s="3"/>
      <c r="Y20" s="3"/>
    </row>
    <row r="21" spans="1:26" ht="15.75" customHeight="1">
      <c r="A21" s="35" t="s">
        <v>150</v>
      </c>
      <c r="B21" s="109" t="s">
        <v>147</v>
      </c>
      <c r="C21" s="109"/>
      <c r="D21" s="109"/>
      <c r="E21" s="109"/>
      <c r="F21" s="109"/>
      <c r="G21" s="109"/>
      <c r="H21" s="3"/>
      <c r="I21" s="3"/>
      <c r="V21" s="3"/>
      <c r="W21" s="3"/>
      <c r="X21" s="3"/>
      <c r="Y21" s="3"/>
      <c r="Z21" s="50"/>
    </row>
    <row r="22" spans="1:26" ht="15.75" customHeight="1">
      <c r="A22" s="35" t="s">
        <v>151</v>
      </c>
      <c r="B22" s="110"/>
      <c r="C22" s="110"/>
      <c r="D22" s="110"/>
      <c r="E22" s="110"/>
      <c r="F22" s="110"/>
      <c r="G22" s="110"/>
      <c r="H22" s="3"/>
      <c r="I22" s="3"/>
      <c r="V22" s="3"/>
      <c r="W22" s="3"/>
      <c r="X22" s="3"/>
      <c r="Y22" s="3"/>
      <c r="Z22" s="50"/>
    </row>
    <row r="23" spans="1:26" ht="43.5" customHeight="1">
      <c r="A23" s="11" t="s">
        <v>7</v>
      </c>
      <c r="B23" s="21" t="s">
        <v>135</v>
      </c>
      <c r="C23" s="22" t="s">
        <v>134</v>
      </c>
      <c r="D23" s="22" t="s">
        <v>137</v>
      </c>
      <c r="E23" s="22" t="s">
        <v>136</v>
      </c>
      <c r="F23" s="22" t="s">
        <v>138</v>
      </c>
      <c r="G23" s="22" t="s">
        <v>141</v>
      </c>
      <c r="H23" s="13" t="s">
        <v>8</v>
      </c>
      <c r="I23" s="12" t="s">
        <v>9</v>
      </c>
      <c r="J23" s="14" t="s">
        <v>133</v>
      </c>
      <c r="K23" s="14" t="s">
        <v>132</v>
      </c>
      <c r="L23" s="14" t="s">
        <v>129</v>
      </c>
      <c r="M23" s="14" t="s">
        <v>130</v>
      </c>
      <c r="N23" s="14" t="s">
        <v>131</v>
      </c>
      <c r="O23" s="14" t="s">
        <v>10</v>
      </c>
      <c r="P23" s="14" t="s">
        <v>11</v>
      </c>
      <c r="Q23" s="14" t="s">
        <v>12</v>
      </c>
      <c r="R23" s="14" t="s">
        <v>13</v>
      </c>
      <c r="S23" s="14" t="s">
        <v>14</v>
      </c>
      <c r="T23" s="14" t="s">
        <v>15</v>
      </c>
      <c r="U23" s="14" t="s">
        <v>16</v>
      </c>
      <c r="V23" s="19" t="s">
        <v>347</v>
      </c>
      <c r="W23" s="19" t="s">
        <v>346</v>
      </c>
      <c r="X23" s="3"/>
      <c r="Y23" s="3"/>
      <c r="Z23" s="50"/>
    </row>
    <row r="24" spans="1:26" s="17" customFormat="1" ht="30" customHeight="1">
      <c r="A24" s="16" t="s">
        <v>18</v>
      </c>
      <c r="B24" s="51">
        <f>'Standard values'!B24</f>
        <v>0</v>
      </c>
      <c r="C24" s="51">
        <f>'Standard values'!C24</f>
        <v>0</v>
      </c>
      <c r="D24" s="51">
        <f>'Standard values'!D24</f>
        <v>0</v>
      </c>
      <c r="E24" s="51">
        <f>'Standard values'!E24</f>
        <v>0</v>
      </c>
      <c r="F24" s="51">
        <f>'Standard values'!F24</f>
        <v>0</v>
      </c>
      <c r="G24" s="51">
        <f>'Standard values'!G24</f>
        <v>0</v>
      </c>
      <c r="H24" s="52">
        <f aca="true" t="shared" si="0" ref="H24:I39">P24</f>
        <v>0</v>
      </c>
      <c r="I24" s="52">
        <f t="shared" si="0"/>
        <v>0</v>
      </c>
      <c r="J24" s="53">
        <f>D24*R24</f>
        <v>0</v>
      </c>
      <c r="K24" s="54">
        <f>C24*28.3495</f>
        <v>0</v>
      </c>
      <c r="L24" s="55">
        <f>E24*100</f>
        <v>0</v>
      </c>
      <c r="M24" s="55">
        <f>F24*300</f>
        <v>0</v>
      </c>
      <c r="N24" s="55">
        <f>G24*120</f>
        <v>0</v>
      </c>
      <c r="O24" s="53">
        <f>B24+SUM(J24:N24)</f>
        <v>0</v>
      </c>
      <c r="P24" s="54">
        <f>S24*O24</f>
        <v>0</v>
      </c>
      <c r="Q24" s="54">
        <f aca="true" t="shared" si="1" ref="Q24:Q87">P24*U24</f>
        <v>0</v>
      </c>
      <c r="R24" s="15">
        <v>1</v>
      </c>
      <c r="S24" s="113">
        <f>18.67/1000</f>
        <v>0.018670000000000003</v>
      </c>
      <c r="T24" s="57">
        <f aca="true" t="shared" si="2" ref="T24:T85">S24*100</f>
        <v>1.8670000000000002</v>
      </c>
      <c r="U24" s="15">
        <v>1</v>
      </c>
      <c r="V24" s="115" t="s">
        <v>357</v>
      </c>
      <c r="W24" s="74">
        <v>2023</v>
      </c>
      <c r="X24" s="58"/>
      <c r="Y24" s="58"/>
      <c r="Z24" s="59"/>
    </row>
    <row r="25" spans="1:26" s="17" customFormat="1" ht="30" customHeight="1">
      <c r="A25" s="18" t="s">
        <v>20</v>
      </c>
      <c r="B25" s="51">
        <f>'Standard values'!B25</f>
        <v>0</v>
      </c>
      <c r="C25" s="51">
        <f>'Standard values'!C25</f>
        <v>0</v>
      </c>
      <c r="D25" s="51">
        <f>'Standard values'!D25</f>
        <v>0</v>
      </c>
      <c r="E25" s="51">
        <f>'Standard values'!E25</f>
        <v>0</v>
      </c>
      <c r="F25" s="51">
        <f>'Standard values'!F25</f>
        <v>0</v>
      </c>
      <c r="G25" s="51">
        <f>'Standard values'!G25</f>
        <v>0</v>
      </c>
      <c r="H25" s="52">
        <f t="shared" si="0"/>
        <v>0</v>
      </c>
      <c r="I25" s="52">
        <f t="shared" si="0"/>
        <v>0</v>
      </c>
      <c r="J25" s="53">
        <f aca="true" t="shared" si="3" ref="J25:J88">D25*R25</f>
        <v>0</v>
      </c>
      <c r="K25" s="54">
        <f aca="true" t="shared" si="4" ref="K25:K88">C25*28.3495</f>
        <v>0</v>
      </c>
      <c r="L25" s="55">
        <f aca="true" t="shared" si="5" ref="L25:L88">E25*100</f>
        <v>0</v>
      </c>
      <c r="M25" s="55">
        <f aca="true" t="shared" si="6" ref="M25:M88">F25*300</f>
        <v>0</v>
      </c>
      <c r="N25" s="55">
        <f aca="true" t="shared" si="7" ref="N25:N88">G25*120</f>
        <v>0</v>
      </c>
      <c r="O25" s="53">
        <f aca="true" t="shared" si="8" ref="O25:O88">B25+SUM(J25:N25)</f>
        <v>0</v>
      </c>
      <c r="P25" s="54">
        <f aca="true" t="shared" si="9" ref="P25:P88">S25*O25</f>
        <v>0</v>
      </c>
      <c r="Q25" s="54">
        <f t="shared" si="1"/>
        <v>0</v>
      </c>
      <c r="S25" s="114">
        <f>0.74/100</f>
        <v>0.0074</v>
      </c>
      <c r="T25" s="57">
        <f t="shared" si="2"/>
        <v>0.74</v>
      </c>
      <c r="U25" s="17">
        <v>0</v>
      </c>
      <c r="V25" s="58" t="s">
        <v>168</v>
      </c>
      <c r="W25" s="74"/>
      <c r="X25" s="58"/>
      <c r="Y25" s="58"/>
      <c r="Z25" s="59"/>
    </row>
    <row r="26" spans="1:26" s="17" customFormat="1" ht="30" customHeight="1">
      <c r="A26" s="16" t="s">
        <v>21</v>
      </c>
      <c r="B26" s="51">
        <f>'Standard values'!B26</f>
        <v>0</v>
      </c>
      <c r="C26" s="51">
        <f>'Standard values'!C26</f>
        <v>0</v>
      </c>
      <c r="D26" s="51">
        <f>'Standard values'!D26</f>
        <v>0</v>
      </c>
      <c r="E26" s="51">
        <f>'Standard values'!E26</f>
        <v>0</v>
      </c>
      <c r="F26" s="51">
        <f>'Standard values'!F26</f>
        <v>0</v>
      </c>
      <c r="G26" s="51">
        <f>'Standard values'!G26</f>
        <v>0</v>
      </c>
      <c r="H26" s="52">
        <f t="shared" si="0"/>
        <v>0</v>
      </c>
      <c r="I26" s="52">
        <f t="shared" si="0"/>
        <v>0</v>
      </c>
      <c r="J26" s="53">
        <f t="shared" si="3"/>
        <v>0</v>
      </c>
      <c r="K26" s="54">
        <f t="shared" si="4"/>
        <v>0</v>
      </c>
      <c r="L26" s="55">
        <f t="shared" si="5"/>
        <v>0</v>
      </c>
      <c r="M26" s="55">
        <f t="shared" si="6"/>
        <v>0</v>
      </c>
      <c r="N26" s="55">
        <f t="shared" si="7"/>
        <v>0</v>
      </c>
      <c r="O26" s="53">
        <f t="shared" si="8"/>
        <v>0</v>
      </c>
      <c r="P26" s="54">
        <f t="shared" si="9"/>
        <v>0</v>
      </c>
      <c r="Q26" s="54">
        <f t="shared" si="1"/>
        <v>0</v>
      </c>
      <c r="R26" s="15">
        <v>200</v>
      </c>
      <c r="S26" s="113">
        <f>5.25/1000</f>
        <v>0.00525</v>
      </c>
      <c r="T26" s="57">
        <f t="shared" si="2"/>
        <v>0.525</v>
      </c>
      <c r="U26" s="15">
        <v>1</v>
      </c>
      <c r="V26" s="74" t="s">
        <v>340</v>
      </c>
      <c r="W26" s="74"/>
      <c r="X26" s="58"/>
      <c r="Y26" s="58"/>
      <c r="Z26" s="59"/>
    </row>
    <row r="27" spans="1:26" s="17" customFormat="1" ht="30" customHeight="1">
      <c r="A27" s="16" t="s">
        <v>24</v>
      </c>
      <c r="B27" s="51">
        <f>'Standard values'!B27</f>
        <v>0</v>
      </c>
      <c r="C27" s="51">
        <f>'Standard values'!C27</f>
        <v>0</v>
      </c>
      <c r="D27" s="51">
        <f>'Standard values'!D27</f>
        <v>0</v>
      </c>
      <c r="E27" s="51">
        <f>'Standard values'!E27</f>
        <v>0</v>
      </c>
      <c r="F27" s="51">
        <f>'Standard values'!F27</f>
        <v>0</v>
      </c>
      <c r="G27" s="51">
        <f>'Standard values'!G27</f>
        <v>0</v>
      </c>
      <c r="H27" s="52">
        <f t="shared" si="0"/>
        <v>0</v>
      </c>
      <c r="I27" s="52">
        <f t="shared" si="0"/>
        <v>0</v>
      </c>
      <c r="J27" s="53">
        <f t="shared" si="3"/>
        <v>0</v>
      </c>
      <c r="K27" s="54">
        <f t="shared" si="4"/>
        <v>0</v>
      </c>
      <c r="L27" s="55">
        <f t="shared" si="5"/>
        <v>0</v>
      </c>
      <c r="M27" s="55">
        <f t="shared" si="6"/>
        <v>0</v>
      </c>
      <c r="N27" s="55">
        <f t="shared" si="7"/>
        <v>0</v>
      </c>
      <c r="O27" s="53">
        <f t="shared" si="8"/>
        <v>0</v>
      </c>
      <c r="P27" s="54">
        <f t="shared" si="9"/>
        <v>0</v>
      </c>
      <c r="Q27" s="54">
        <f t="shared" si="1"/>
        <v>0</v>
      </c>
      <c r="R27" s="15">
        <v>100</v>
      </c>
      <c r="S27" s="113">
        <f>0.638/100</f>
        <v>0.00638</v>
      </c>
      <c r="T27" s="57">
        <f t="shared" si="2"/>
        <v>0.638</v>
      </c>
      <c r="U27" s="15">
        <v>1</v>
      </c>
      <c r="V27" s="74" t="s">
        <v>339</v>
      </c>
      <c r="W27" s="74"/>
      <c r="X27" s="58"/>
      <c r="Y27" s="58"/>
      <c r="Z27" s="59"/>
    </row>
    <row r="28" spans="1:26" s="17" customFormat="1" ht="30" customHeight="1">
      <c r="A28" s="18" t="s">
        <v>25</v>
      </c>
      <c r="B28" s="51">
        <f>'Standard values'!B28</f>
        <v>0</v>
      </c>
      <c r="C28" s="51">
        <f>'Standard values'!C28</f>
        <v>0</v>
      </c>
      <c r="D28" s="51">
        <f>'Standard values'!D28</f>
        <v>0</v>
      </c>
      <c r="E28" s="51">
        <f>'Standard values'!E28</f>
        <v>0</v>
      </c>
      <c r="F28" s="51">
        <f>'Standard values'!F28</f>
        <v>0</v>
      </c>
      <c r="G28" s="51">
        <f>'Standard values'!G28</f>
        <v>0</v>
      </c>
      <c r="H28" s="52">
        <f t="shared" si="0"/>
        <v>0</v>
      </c>
      <c r="I28" s="52">
        <f t="shared" si="0"/>
        <v>0</v>
      </c>
      <c r="J28" s="53">
        <f t="shared" si="3"/>
        <v>0</v>
      </c>
      <c r="K28" s="54">
        <f t="shared" si="4"/>
        <v>0</v>
      </c>
      <c r="L28" s="55">
        <f t="shared" si="5"/>
        <v>0</v>
      </c>
      <c r="M28" s="55">
        <f t="shared" si="6"/>
        <v>0</v>
      </c>
      <c r="N28" s="55">
        <f t="shared" si="7"/>
        <v>0</v>
      </c>
      <c r="O28" s="53">
        <f t="shared" si="8"/>
        <v>0</v>
      </c>
      <c r="P28" s="54">
        <f t="shared" si="9"/>
        <v>0</v>
      </c>
      <c r="Q28" s="54">
        <f t="shared" si="1"/>
        <v>0</v>
      </c>
      <c r="R28" s="17">
        <v>50</v>
      </c>
      <c r="S28" s="113">
        <f>4.25/400</f>
        <v>0.010625</v>
      </c>
      <c r="T28" s="57">
        <f t="shared" si="2"/>
        <v>1.0625</v>
      </c>
      <c r="U28" s="17">
        <v>0.75</v>
      </c>
      <c r="V28" s="74" t="s">
        <v>341</v>
      </c>
      <c r="W28" s="74"/>
      <c r="X28" s="58"/>
      <c r="Y28" s="58"/>
      <c r="Z28" s="59"/>
    </row>
    <row r="29" spans="1:26" s="17" customFormat="1" ht="30" customHeight="1">
      <c r="A29" s="18" t="s">
        <v>26</v>
      </c>
      <c r="B29" s="51">
        <f>'Standard values'!B29</f>
        <v>0</v>
      </c>
      <c r="C29" s="51">
        <f>'Standard values'!C29</f>
        <v>0</v>
      </c>
      <c r="D29" s="51">
        <f>'Standard values'!D29</f>
        <v>0</v>
      </c>
      <c r="E29" s="51">
        <f>'Standard values'!E29</f>
        <v>0</v>
      </c>
      <c r="F29" s="51">
        <f>'Standard values'!F29</f>
        <v>0</v>
      </c>
      <c r="G29" s="51">
        <f>'Standard values'!G29</f>
        <v>0</v>
      </c>
      <c r="H29" s="52">
        <f t="shared" si="0"/>
        <v>0</v>
      </c>
      <c r="I29" s="52">
        <f t="shared" si="0"/>
        <v>0</v>
      </c>
      <c r="J29" s="53">
        <f t="shared" si="3"/>
        <v>0</v>
      </c>
      <c r="K29" s="54">
        <f t="shared" si="4"/>
        <v>0</v>
      </c>
      <c r="L29" s="55">
        <f t="shared" si="5"/>
        <v>0</v>
      </c>
      <c r="M29" s="55">
        <f t="shared" si="6"/>
        <v>0</v>
      </c>
      <c r="N29" s="55">
        <f t="shared" si="7"/>
        <v>0</v>
      </c>
      <c r="O29" s="53">
        <f t="shared" si="8"/>
        <v>0</v>
      </c>
      <c r="P29" s="54">
        <f t="shared" si="9"/>
        <v>0</v>
      </c>
      <c r="Q29" s="54">
        <f t="shared" si="1"/>
        <v>0</v>
      </c>
      <c r="R29" s="17">
        <v>200</v>
      </c>
      <c r="S29" s="113">
        <f>(4.05/2)/116</f>
        <v>0.017456896551724138</v>
      </c>
      <c r="T29" s="57">
        <f t="shared" si="2"/>
        <v>1.7456896551724137</v>
      </c>
      <c r="U29" s="17">
        <v>0</v>
      </c>
      <c r="V29" s="74" t="s">
        <v>343</v>
      </c>
      <c r="W29" s="74"/>
      <c r="X29" s="58"/>
      <c r="Y29" s="58"/>
      <c r="Z29" s="59"/>
    </row>
    <row r="30" spans="1:26" s="17" customFormat="1" ht="30" customHeight="1">
      <c r="A30" s="18" t="s">
        <v>27</v>
      </c>
      <c r="B30" s="51">
        <f>'Standard values'!B30</f>
        <v>0</v>
      </c>
      <c r="C30" s="51">
        <f>'Standard values'!C30</f>
        <v>0</v>
      </c>
      <c r="D30" s="51">
        <f>'Standard values'!D30</f>
        <v>0</v>
      </c>
      <c r="E30" s="51">
        <f>'Standard values'!E30</f>
        <v>0</v>
      </c>
      <c r="F30" s="51">
        <f>'Standard values'!F30</f>
        <v>0</v>
      </c>
      <c r="G30" s="51">
        <f>'Standard values'!G30</f>
        <v>0</v>
      </c>
      <c r="H30" s="52">
        <f t="shared" si="0"/>
        <v>0</v>
      </c>
      <c r="I30" s="52">
        <f t="shared" si="0"/>
        <v>0</v>
      </c>
      <c r="J30" s="53">
        <f t="shared" si="3"/>
        <v>0</v>
      </c>
      <c r="K30" s="54">
        <f t="shared" si="4"/>
        <v>0</v>
      </c>
      <c r="L30" s="55">
        <f t="shared" si="5"/>
        <v>0</v>
      </c>
      <c r="M30" s="55">
        <f t="shared" si="6"/>
        <v>0</v>
      </c>
      <c r="N30" s="55">
        <f t="shared" si="7"/>
        <v>0</v>
      </c>
      <c r="O30" s="53">
        <f t="shared" si="8"/>
        <v>0</v>
      </c>
      <c r="P30" s="54">
        <f t="shared" si="9"/>
        <v>0</v>
      </c>
      <c r="Q30" s="54">
        <f t="shared" si="1"/>
        <v>0</v>
      </c>
      <c r="R30" s="17">
        <v>30</v>
      </c>
      <c r="S30" s="113">
        <f>13.75/1000</f>
        <v>0.01375</v>
      </c>
      <c r="T30" s="57">
        <f t="shared" si="2"/>
        <v>1.375</v>
      </c>
      <c r="U30" s="17">
        <v>0</v>
      </c>
      <c r="V30" s="74" t="s">
        <v>180</v>
      </c>
      <c r="W30" s="74"/>
      <c r="X30" s="58"/>
      <c r="Y30" s="58"/>
      <c r="Z30" s="59"/>
    </row>
    <row r="31" spans="1:26" s="17" customFormat="1" ht="30" customHeight="1">
      <c r="A31" s="18" t="s">
        <v>28</v>
      </c>
      <c r="B31" s="51">
        <f>'Standard values'!B31</f>
        <v>0</v>
      </c>
      <c r="C31" s="51">
        <f>'Standard values'!C31</f>
        <v>0</v>
      </c>
      <c r="D31" s="51">
        <f>'Standard values'!D31</f>
        <v>0</v>
      </c>
      <c r="E31" s="51">
        <f>'Standard values'!E31</f>
        <v>0</v>
      </c>
      <c r="F31" s="51">
        <f>'Standard values'!F31</f>
        <v>0</v>
      </c>
      <c r="G31" s="51">
        <f>'Standard values'!G31</f>
        <v>0</v>
      </c>
      <c r="H31" s="52">
        <f t="shared" si="0"/>
        <v>0</v>
      </c>
      <c r="I31" s="52">
        <f t="shared" si="0"/>
        <v>0</v>
      </c>
      <c r="J31" s="53">
        <f t="shared" si="3"/>
        <v>0</v>
      </c>
      <c r="K31" s="54">
        <f t="shared" si="4"/>
        <v>0</v>
      </c>
      <c r="L31" s="55">
        <f t="shared" si="5"/>
        <v>0</v>
      </c>
      <c r="M31" s="55">
        <f t="shared" si="6"/>
        <v>0</v>
      </c>
      <c r="N31" s="55">
        <f t="shared" si="7"/>
        <v>0</v>
      </c>
      <c r="O31" s="53">
        <f t="shared" si="8"/>
        <v>0</v>
      </c>
      <c r="P31" s="54">
        <f t="shared" si="9"/>
        <v>0</v>
      </c>
      <c r="Q31" s="54">
        <f t="shared" si="1"/>
        <v>0</v>
      </c>
      <c r="R31" s="17">
        <v>100</v>
      </c>
      <c r="S31" s="113">
        <f>1.6/100</f>
        <v>0.016</v>
      </c>
      <c r="T31" s="57">
        <f t="shared" si="2"/>
        <v>1.6</v>
      </c>
      <c r="U31" s="17">
        <v>0.25</v>
      </c>
      <c r="V31" s="74" t="s">
        <v>183</v>
      </c>
      <c r="W31" s="74"/>
      <c r="X31" s="58"/>
      <c r="Y31" s="58"/>
      <c r="Z31" s="59"/>
    </row>
    <row r="32" spans="1:26" s="17" customFormat="1" ht="30" customHeight="1">
      <c r="A32" s="16" t="s">
        <v>30</v>
      </c>
      <c r="B32" s="51">
        <f>'Standard values'!B32</f>
        <v>0</v>
      </c>
      <c r="C32" s="51">
        <f>'Standard values'!C32</f>
        <v>0</v>
      </c>
      <c r="D32" s="51">
        <f>'Standard values'!D32</f>
        <v>0</v>
      </c>
      <c r="E32" s="51">
        <f>'Standard values'!E32</f>
        <v>0</v>
      </c>
      <c r="F32" s="51">
        <f>'Standard values'!F32</f>
        <v>0</v>
      </c>
      <c r="G32" s="51">
        <f>'Standard values'!G32</f>
        <v>0</v>
      </c>
      <c r="H32" s="52">
        <f t="shared" si="0"/>
        <v>0</v>
      </c>
      <c r="I32" s="52">
        <f t="shared" si="0"/>
        <v>0</v>
      </c>
      <c r="J32" s="53">
        <f t="shared" si="3"/>
        <v>0</v>
      </c>
      <c r="K32" s="54">
        <f t="shared" si="4"/>
        <v>0</v>
      </c>
      <c r="L32" s="55">
        <f t="shared" si="5"/>
        <v>0</v>
      </c>
      <c r="M32" s="55">
        <f t="shared" si="6"/>
        <v>0</v>
      </c>
      <c r="N32" s="55">
        <f t="shared" si="7"/>
        <v>0</v>
      </c>
      <c r="O32" s="53">
        <f t="shared" si="8"/>
        <v>0</v>
      </c>
      <c r="P32" s="54">
        <f t="shared" si="9"/>
        <v>0</v>
      </c>
      <c r="Q32" s="54">
        <f t="shared" si="1"/>
        <v>0</v>
      </c>
      <c r="R32" s="15">
        <v>100</v>
      </c>
      <c r="S32" s="113">
        <f>2.1/500</f>
        <v>0.004200000000000001</v>
      </c>
      <c r="T32" s="57">
        <f t="shared" si="2"/>
        <v>0.42000000000000004</v>
      </c>
      <c r="U32" s="17">
        <v>0</v>
      </c>
      <c r="V32" s="74" t="s">
        <v>364</v>
      </c>
      <c r="W32" s="74" t="s">
        <v>365</v>
      </c>
      <c r="X32" s="58"/>
      <c r="Y32" s="58"/>
      <c r="Z32" s="59"/>
    </row>
    <row r="33" spans="1:26" s="17" customFormat="1" ht="30" customHeight="1">
      <c r="A33" s="16" t="s">
        <v>31</v>
      </c>
      <c r="B33" s="51">
        <f>'Standard values'!B33</f>
        <v>0</v>
      </c>
      <c r="C33" s="51">
        <f>'Standard values'!C33</f>
        <v>0</v>
      </c>
      <c r="D33" s="51">
        <f>'Standard values'!D33</f>
        <v>0</v>
      </c>
      <c r="E33" s="51">
        <f>'Standard values'!E33</f>
        <v>0</v>
      </c>
      <c r="F33" s="51">
        <f>'Standard values'!F33</f>
        <v>0</v>
      </c>
      <c r="G33" s="51">
        <f>'Standard values'!G33</f>
        <v>0</v>
      </c>
      <c r="H33" s="52">
        <f t="shared" si="0"/>
        <v>0</v>
      </c>
      <c r="I33" s="52">
        <f t="shared" si="0"/>
        <v>0</v>
      </c>
      <c r="J33" s="53">
        <f t="shared" si="3"/>
        <v>0</v>
      </c>
      <c r="K33" s="54">
        <f t="shared" si="4"/>
        <v>0</v>
      </c>
      <c r="L33" s="55">
        <f t="shared" si="5"/>
        <v>0</v>
      </c>
      <c r="M33" s="55">
        <f t="shared" si="6"/>
        <v>0</v>
      </c>
      <c r="N33" s="55">
        <f t="shared" si="7"/>
        <v>0</v>
      </c>
      <c r="O33" s="53">
        <f t="shared" si="8"/>
        <v>0</v>
      </c>
      <c r="P33" s="54">
        <f t="shared" si="9"/>
        <v>0</v>
      </c>
      <c r="Q33" s="54">
        <f t="shared" si="1"/>
        <v>0</v>
      </c>
      <c r="R33" s="15">
        <v>1</v>
      </c>
      <c r="S33" s="113">
        <f>20/1000</f>
        <v>0.02</v>
      </c>
      <c r="T33" s="57">
        <f t="shared" si="2"/>
        <v>2</v>
      </c>
      <c r="U33" s="15">
        <v>0.6</v>
      </c>
      <c r="V33" s="74" t="s">
        <v>188</v>
      </c>
      <c r="W33" s="74"/>
      <c r="X33" s="58"/>
      <c r="Y33" s="58"/>
      <c r="Z33" s="59"/>
    </row>
    <row r="34" spans="1:26" s="17" customFormat="1" ht="30" customHeight="1">
      <c r="A34" s="16" t="s">
        <v>34</v>
      </c>
      <c r="B34" s="51">
        <f>'Standard values'!B34</f>
        <v>0</v>
      </c>
      <c r="C34" s="51">
        <f>'Standard values'!C34</f>
        <v>0</v>
      </c>
      <c r="D34" s="51">
        <f>'Standard values'!D34</f>
        <v>0</v>
      </c>
      <c r="E34" s="51">
        <f>'Standard values'!E34</f>
        <v>0</v>
      </c>
      <c r="F34" s="51">
        <f>'Standard values'!F34</f>
        <v>0</v>
      </c>
      <c r="G34" s="51">
        <f>'Standard values'!G34</f>
        <v>0</v>
      </c>
      <c r="H34" s="52">
        <f t="shared" si="0"/>
        <v>0</v>
      </c>
      <c r="I34" s="52">
        <f t="shared" si="0"/>
        <v>0</v>
      </c>
      <c r="J34" s="53">
        <f t="shared" si="3"/>
        <v>0</v>
      </c>
      <c r="K34" s="54">
        <f t="shared" si="4"/>
        <v>0</v>
      </c>
      <c r="L34" s="55">
        <f t="shared" si="5"/>
        <v>0</v>
      </c>
      <c r="M34" s="55">
        <f t="shared" si="6"/>
        <v>0</v>
      </c>
      <c r="N34" s="55">
        <f t="shared" si="7"/>
        <v>0</v>
      </c>
      <c r="O34" s="53">
        <f t="shared" si="8"/>
        <v>0</v>
      </c>
      <c r="P34" s="54">
        <f t="shared" si="9"/>
        <v>0</v>
      </c>
      <c r="Q34" s="54">
        <f t="shared" si="1"/>
        <v>0</v>
      </c>
      <c r="R34" s="15">
        <v>4</v>
      </c>
      <c r="S34" s="113">
        <f>3.36/100</f>
        <v>0.0336</v>
      </c>
      <c r="T34" s="57">
        <f t="shared" si="2"/>
        <v>3.36</v>
      </c>
      <c r="U34" s="15">
        <v>0.3</v>
      </c>
      <c r="V34" s="74" t="s">
        <v>395</v>
      </c>
      <c r="W34" s="74"/>
      <c r="X34" s="58"/>
      <c r="Y34" s="58"/>
      <c r="Z34" s="59"/>
    </row>
    <row r="35" spans="1:26" s="17" customFormat="1" ht="30" customHeight="1">
      <c r="A35" s="16" t="s">
        <v>35</v>
      </c>
      <c r="B35" s="51">
        <f>'Standard values'!B35</f>
        <v>0</v>
      </c>
      <c r="C35" s="51">
        <f>'Standard values'!C35</f>
        <v>0</v>
      </c>
      <c r="D35" s="51">
        <f>'Standard values'!D35</f>
        <v>0</v>
      </c>
      <c r="E35" s="51">
        <f>'Standard values'!E35</f>
        <v>0</v>
      </c>
      <c r="F35" s="51">
        <f>'Standard values'!F35</f>
        <v>0</v>
      </c>
      <c r="G35" s="51">
        <f>'Standard values'!G35</f>
        <v>0</v>
      </c>
      <c r="H35" s="52">
        <f t="shared" si="0"/>
        <v>0</v>
      </c>
      <c r="I35" s="52">
        <f t="shared" si="0"/>
        <v>0</v>
      </c>
      <c r="J35" s="53">
        <f t="shared" si="3"/>
        <v>0</v>
      </c>
      <c r="K35" s="54">
        <f t="shared" si="4"/>
        <v>0</v>
      </c>
      <c r="L35" s="55">
        <f t="shared" si="5"/>
        <v>0</v>
      </c>
      <c r="M35" s="55">
        <f t="shared" si="6"/>
        <v>0</v>
      </c>
      <c r="N35" s="55">
        <f t="shared" si="7"/>
        <v>0</v>
      </c>
      <c r="O35" s="53">
        <f t="shared" si="8"/>
        <v>0</v>
      </c>
      <c r="P35" s="54">
        <f t="shared" si="9"/>
        <v>0</v>
      </c>
      <c r="Q35" s="54">
        <f t="shared" si="1"/>
        <v>0</v>
      </c>
      <c r="R35" s="15">
        <v>1</v>
      </c>
      <c r="S35" s="113">
        <f>2.3/125</f>
        <v>0.0184</v>
      </c>
      <c r="T35" s="57">
        <f t="shared" si="2"/>
        <v>1.8399999999999999</v>
      </c>
      <c r="U35" s="15">
        <v>0.9</v>
      </c>
      <c r="V35" s="74" t="s">
        <v>192</v>
      </c>
      <c r="W35" s="74"/>
      <c r="X35" s="58"/>
      <c r="Y35" s="58"/>
      <c r="Z35" s="59"/>
    </row>
    <row r="36" spans="1:26" s="17" customFormat="1" ht="30" customHeight="1">
      <c r="A36" s="16" t="s">
        <v>36</v>
      </c>
      <c r="B36" s="51">
        <f>'Standard values'!B36</f>
        <v>0</v>
      </c>
      <c r="C36" s="51">
        <f>'Standard values'!C36</f>
        <v>0</v>
      </c>
      <c r="D36" s="51">
        <f>'Standard values'!D36</f>
        <v>0</v>
      </c>
      <c r="E36" s="51">
        <f>'Standard values'!E36</f>
        <v>0</v>
      </c>
      <c r="F36" s="51">
        <f>'Standard values'!F36</f>
        <v>0</v>
      </c>
      <c r="G36" s="51">
        <f>'Standard values'!G36</f>
        <v>0</v>
      </c>
      <c r="H36" s="52">
        <f t="shared" si="0"/>
        <v>0</v>
      </c>
      <c r="I36" s="52">
        <f t="shared" si="0"/>
        <v>0</v>
      </c>
      <c r="J36" s="53">
        <f t="shared" si="3"/>
        <v>0</v>
      </c>
      <c r="K36" s="54">
        <f t="shared" si="4"/>
        <v>0</v>
      </c>
      <c r="L36" s="55">
        <f t="shared" si="5"/>
        <v>0</v>
      </c>
      <c r="M36" s="55">
        <f t="shared" si="6"/>
        <v>0</v>
      </c>
      <c r="N36" s="55">
        <f t="shared" si="7"/>
        <v>0</v>
      </c>
      <c r="O36" s="53">
        <f t="shared" si="8"/>
        <v>0</v>
      </c>
      <c r="P36" s="54">
        <f t="shared" si="9"/>
        <v>0</v>
      </c>
      <c r="Q36" s="54">
        <f t="shared" si="1"/>
        <v>0</v>
      </c>
      <c r="R36" s="15">
        <v>1</v>
      </c>
      <c r="S36" s="113">
        <f>20/1000</f>
        <v>0.02</v>
      </c>
      <c r="T36" s="57">
        <f t="shared" si="2"/>
        <v>2</v>
      </c>
      <c r="U36" s="15">
        <v>0.25</v>
      </c>
      <c r="V36" s="74" t="s">
        <v>188</v>
      </c>
      <c r="W36" s="74"/>
      <c r="X36" s="58"/>
      <c r="Y36" s="58"/>
      <c r="Z36" s="59"/>
    </row>
    <row r="37" spans="1:26" s="17" customFormat="1" ht="30" customHeight="1">
      <c r="A37" s="18" t="s">
        <v>37</v>
      </c>
      <c r="B37" s="51">
        <f>'Standard values'!B37</f>
        <v>0</v>
      </c>
      <c r="C37" s="51">
        <f>'Standard values'!C37</f>
        <v>0</v>
      </c>
      <c r="D37" s="51">
        <f>'Standard values'!D37</f>
        <v>0</v>
      </c>
      <c r="E37" s="51">
        <f>'Standard values'!E37</f>
        <v>0</v>
      </c>
      <c r="F37" s="51">
        <f>'Standard values'!F37</f>
        <v>0</v>
      </c>
      <c r="G37" s="51">
        <f>'Standard values'!G37</f>
        <v>0</v>
      </c>
      <c r="H37" s="52">
        <f t="shared" si="0"/>
        <v>0</v>
      </c>
      <c r="I37" s="52">
        <f t="shared" si="0"/>
        <v>0</v>
      </c>
      <c r="J37" s="53">
        <f t="shared" si="3"/>
        <v>0</v>
      </c>
      <c r="K37" s="54">
        <f t="shared" si="4"/>
        <v>0</v>
      </c>
      <c r="L37" s="55">
        <f t="shared" si="5"/>
        <v>0</v>
      </c>
      <c r="M37" s="55">
        <f t="shared" si="6"/>
        <v>0</v>
      </c>
      <c r="N37" s="55">
        <f t="shared" si="7"/>
        <v>0</v>
      </c>
      <c r="O37" s="53">
        <f t="shared" si="8"/>
        <v>0</v>
      </c>
      <c r="P37" s="54">
        <f t="shared" si="9"/>
        <v>0</v>
      </c>
      <c r="Q37" s="54">
        <f t="shared" si="1"/>
        <v>0</v>
      </c>
      <c r="R37" s="17">
        <v>1</v>
      </c>
      <c r="S37" s="113">
        <f>5.25/500</f>
        <v>0.0105</v>
      </c>
      <c r="T37" s="57">
        <f t="shared" si="2"/>
        <v>1.05</v>
      </c>
      <c r="U37" s="17">
        <v>0.1</v>
      </c>
      <c r="V37" s="74" t="s">
        <v>396</v>
      </c>
      <c r="W37" s="74"/>
      <c r="X37" s="58"/>
      <c r="Y37" s="58"/>
      <c r="Z37" s="59"/>
    </row>
    <row r="38" spans="1:26" s="17" customFormat="1" ht="30" customHeight="1">
      <c r="A38" s="60" t="s">
        <v>39</v>
      </c>
      <c r="B38" s="51">
        <f>'Standard values'!B38</f>
        <v>0</v>
      </c>
      <c r="C38" s="51">
        <f>'Standard values'!C38</f>
        <v>0</v>
      </c>
      <c r="D38" s="51">
        <f>'Standard values'!D38</f>
        <v>0</v>
      </c>
      <c r="E38" s="51">
        <f>'Standard values'!E38</f>
        <v>0</v>
      </c>
      <c r="F38" s="51">
        <f>'Standard values'!F38</f>
        <v>0</v>
      </c>
      <c r="G38" s="51">
        <f>'Standard values'!G38</f>
        <v>0</v>
      </c>
      <c r="H38" s="52">
        <f t="shared" si="0"/>
        <v>0</v>
      </c>
      <c r="I38" s="52">
        <f t="shared" si="0"/>
        <v>0</v>
      </c>
      <c r="J38" s="53">
        <f t="shared" si="3"/>
        <v>0</v>
      </c>
      <c r="K38" s="54">
        <f t="shared" si="4"/>
        <v>0</v>
      </c>
      <c r="L38" s="55">
        <f t="shared" si="5"/>
        <v>0</v>
      </c>
      <c r="M38" s="55">
        <f t="shared" si="6"/>
        <v>0</v>
      </c>
      <c r="N38" s="55">
        <f t="shared" si="7"/>
        <v>0</v>
      </c>
      <c r="O38" s="53">
        <f t="shared" si="8"/>
        <v>0</v>
      </c>
      <c r="P38" s="54">
        <f t="shared" si="9"/>
        <v>0</v>
      </c>
      <c r="Q38" s="54">
        <f t="shared" si="1"/>
        <v>0</v>
      </c>
      <c r="R38" s="61">
        <v>4</v>
      </c>
      <c r="S38" s="113">
        <f>22.4/1000</f>
        <v>0.0224</v>
      </c>
      <c r="T38" s="57">
        <f t="shared" si="2"/>
        <v>2.2399999999999998</v>
      </c>
      <c r="U38" s="17">
        <v>0.3</v>
      </c>
      <c r="V38" s="74" t="s">
        <v>197</v>
      </c>
      <c r="W38" s="74"/>
      <c r="X38" s="58"/>
      <c r="Y38" s="58"/>
      <c r="Z38" s="59"/>
    </row>
    <row r="39" spans="1:26" s="17" customFormat="1" ht="30" customHeight="1">
      <c r="A39" s="18" t="s">
        <v>41</v>
      </c>
      <c r="B39" s="51">
        <f>'Standard values'!B39</f>
        <v>0</v>
      </c>
      <c r="C39" s="51">
        <f>'Standard values'!C39</f>
        <v>0</v>
      </c>
      <c r="D39" s="51">
        <f>'Standard values'!D39</f>
        <v>0</v>
      </c>
      <c r="E39" s="51">
        <f>'Standard values'!E39</f>
        <v>0</v>
      </c>
      <c r="F39" s="51">
        <f>'Standard values'!F39</f>
        <v>0</v>
      </c>
      <c r="G39" s="51">
        <f>'Standard values'!G39</f>
        <v>0</v>
      </c>
      <c r="H39" s="52">
        <f t="shared" si="0"/>
        <v>0</v>
      </c>
      <c r="I39" s="52">
        <f t="shared" si="0"/>
        <v>0</v>
      </c>
      <c r="J39" s="53">
        <f t="shared" si="3"/>
        <v>0</v>
      </c>
      <c r="K39" s="54">
        <f t="shared" si="4"/>
        <v>0</v>
      </c>
      <c r="L39" s="55">
        <f t="shared" si="5"/>
        <v>0</v>
      </c>
      <c r="M39" s="55">
        <f t="shared" si="6"/>
        <v>0</v>
      </c>
      <c r="N39" s="55">
        <f t="shared" si="7"/>
        <v>0</v>
      </c>
      <c r="O39" s="53">
        <f t="shared" si="8"/>
        <v>0</v>
      </c>
      <c r="P39" s="54">
        <f t="shared" si="9"/>
        <v>0</v>
      </c>
      <c r="Q39" s="54">
        <f t="shared" si="1"/>
        <v>0</v>
      </c>
      <c r="R39" s="17">
        <v>15</v>
      </c>
      <c r="S39" s="113">
        <f>3.5/750</f>
        <v>0.004666666666666667</v>
      </c>
      <c r="T39" s="57">
        <f t="shared" si="2"/>
        <v>0.46666666666666673</v>
      </c>
      <c r="U39" s="17">
        <v>0.33</v>
      </c>
      <c r="V39" s="74" t="s">
        <v>397</v>
      </c>
      <c r="W39" s="74"/>
      <c r="X39" s="58"/>
      <c r="Y39" s="58"/>
      <c r="Z39" s="59"/>
    </row>
    <row r="40" spans="1:32" s="17" customFormat="1" ht="30" customHeight="1">
      <c r="A40" s="18" t="s">
        <v>42</v>
      </c>
      <c r="B40" s="51">
        <f>'Standard values'!B40</f>
        <v>0</v>
      </c>
      <c r="C40" s="51">
        <f>'Standard values'!C40</f>
        <v>0</v>
      </c>
      <c r="D40" s="51">
        <f>'Standard values'!D40</f>
        <v>0</v>
      </c>
      <c r="E40" s="51">
        <f>'Standard values'!E40</f>
        <v>0</v>
      </c>
      <c r="F40" s="51">
        <f>'Standard values'!F40</f>
        <v>0</v>
      </c>
      <c r="G40" s="51">
        <f>'Standard values'!G40</f>
        <v>0</v>
      </c>
      <c r="H40" s="52">
        <f aca="true" t="shared" si="10" ref="H40:I55">P40</f>
        <v>0</v>
      </c>
      <c r="I40" s="52">
        <f t="shared" si="10"/>
        <v>0</v>
      </c>
      <c r="J40" s="53">
        <f t="shared" si="3"/>
        <v>0</v>
      </c>
      <c r="K40" s="54">
        <f t="shared" si="4"/>
        <v>0</v>
      </c>
      <c r="L40" s="55">
        <f t="shared" si="5"/>
        <v>0</v>
      </c>
      <c r="M40" s="55">
        <f t="shared" si="6"/>
        <v>0</v>
      </c>
      <c r="N40" s="55">
        <f t="shared" si="7"/>
        <v>0</v>
      </c>
      <c r="O40" s="53">
        <f t="shared" si="8"/>
        <v>0</v>
      </c>
      <c r="P40" s="54">
        <f t="shared" si="9"/>
        <v>0</v>
      </c>
      <c r="Q40" s="54">
        <f t="shared" si="1"/>
        <v>0</v>
      </c>
      <c r="R40" s="17">
        <v>250</v>
      </c>
      <c r="S40" s="113">
        <f>4.72/1000</f>
        <v>0.004719999999999999</v>
      </c>
      <c r="T40" s="57">
        <f t="shared" si="2"/>
        <v>0.4719999999999999</v>
      </c>
      <c r="U40" s="17">
        <v>0</v>
      </c>
      <c r="V40" s="58" t="s">
        <v>203</v>
      </c>
      <c r="W40" s="74"/>
      <c r="X40" s="58"/>
      <c r="Y40" s="58"/>
      <c r="Z40" s="59"/>
      <c r="AD40" s="58"/>
      <c r="AE40" s="58"/>
      <c r="AF40" s="58"/>
    </row>
    <row r="41" spans="1:32" s="17" customFormat="1" ht="30" customHeight="1">
      <c r="A41" s="18" t="s">
        <v>43</v>
      </c>
      <c r="B41" s="51">
        <f>'Standard values'!B41</f>
        <v>0</v>
      </c>
      <c r="C41" s="51">
        <f>'Standard values'!C41</f>
        <v>0</v>
      </c>
      <c r="D41" s="51">
        <f>'Standard values'!D41</f>
        <v>0</v>
      </c>
      <c r="E41" s="51">
        <f>'Standard values'!E41</f>
        <v>0</v>
      </c>
      <c r="F41" s="51">
        <f>'Standard values'!F41</f>
        <v>0</v>
      </c>
      <c r="G41" s="51">
        <f>'Standard values'!G41</f>
        <v>0</v>
      </c>
      <c r="H41" s="52">
        <f t="shared" si="10"/>
        <v>0</v>
      </c>
      <c r="I41" s="52">
        <f t="shared" si="10"/>
        <v>0</v>
      </c>
      <c r="J41" s="53">
        <f t="shared" si="3"/>
        <v>0</v>
      </c>
      <c r="K41" s="54">
        <f t="shared" si="4"/>
        <v>0</v>
      </c>
      <c r="L41" s="55">
        <f t="shared" si="5"/>
        <v>0</v>
      </c>
      <c r="M41" s="55">
        <f t="shared" si="6"/>
        <v>0</v>
      </c>
      <c r="N41" s="55">
        <f t="shared" si="7"/>
        <v>0</v>
      </c>
      <c r="O41" s="53">
        <f t="shared" si="8"/>
        <v>0</v>
      </c>
      <c r="P41" s="54">
        <f t="shared" si="9"/>
        <v>0</v>
      </c>
      <c r="Q41" s="54">
        <f t="shared" si="1"/>
        <v>0</v>
      </c>
      <c r="R41" s="17">
        <v>30</v>
      </c>
      <c r="S41" s="113">
        <f>13.25/1000</f>
        <v>0.01325</v>
      </c>
      <c r="T41" s="57">
        <f t="shared" si="2"/>
        <v>1.325</v>
      </c>
      <c r="U41" s="17">
        <v>0</v>
      </c>
      <c r="V41" s="58" t="s">
        <v>205</v>
      </c>
      <c r="W41" s="74"/>
      <c r="X41" s="58"/>
      <c r="Y41" s="58"/>
      <c r="Z41" s="59"/>
      <c r="AD41" s="58"/>
      <c r="AE41" s="58"/>
      <c r="AF41" s="58"/>
    </row>
    <row r="42" spans="1:32" s="17" customFormat="1" ht="30" customHeight="1">
      <c r="A42" s="18" t="s">
        <v>44</v>
      </c>
      <c r="B42" s="51">
        <f>'Standard values'!B42</f>
        <v>0</v>
      </c>
      <c r="C42" s="51">
        <f>'Standard values'!C42</f>
        <v>0</v>
      </c>
      <c r="D42" s="51">
        <f>'Standard values'!D42</f>
        <v>0</v>
      </c>
      <c r="E42" s="51">
        <f>'Standard values'!E42</f>
        <v>0</v>
      </c>
      <c r="F42" s="51">
        <f>'Standard values'!F42</f>
        <v>0</v>
      </c>
      <c r="G42" s="51">
        <f>'Standard values'!G42</f>
        <v>0</v>
      </c>
      <c r="H42" s="52">
        <f t="shared" si="10"/>
        <v>0</v>
      </c>
      <c r="I42" s="52">
        <f t="shared" si="10"/>
        <v>0</v>
      </c>
      <c r="J42" s="53">
        <f t="shared" si="3"/>
        <v>0</v>
      </c>
      <c r="K42" s="54">
        <f t="shared" si="4"/>
        <v>0</v>
      </c>
      <c r="L42" s="55">
        <f t="shared" si="5"/>
        <v>0</v>
      </c>
      <c r="M42" s="55">
        <f t="shared" si="6"/>
        <v>0</v>
      </c>
      <c r="N42" s="55">
        <f t="shared" si="7"/>
        <v>0</v>
      </c>
      <c r="O42" s="53">
        <f t="shared" si="8"/>
        <v>0</v>
      </c>
      <c r="P42" s="54">
        <f t="shared" si="9"/>
        <v>0</v>
      </c>
      <c r="Q42" s="54">
        <f t="shared" si="1"/>
        <v>0</v>
      </c>
      <c r="R42" s="15">
        <v>10</v>
      </c>
      <c r="S42" s="113">
        <f>2.75/500</f>
        <v>0.0055</v>
      </c>
      <c r="T42" s="57">
        <f t="shared" si="2"/>
        <v>0.5499999999999999</v>
      </c>
      <c r="U42" s="17">
        <v>0</v>
      </c>
      <c r="V42" s="58" t="s">
        <v>207</v>
      </c>
      <c r="W42" s="74"/>
      <c r="X42" s="58"/>
      <c r="Y42" s="58"/>
      <c r="Z42" s="59"/>
      <c r="AD42" s="58"/>
      <c r="AE42" s="58"/>
      <c r="AF42" s="58"/>
    </row>
    <row r="43" spans="1:32" s="17" customFormat="1" ht="30" customHeight="1">
      <c r="A43" s="18" t="s">
        <v>45</v>
      </c>
      <c r="B43" s="51">
        <f>'Standard values'!B43</f>
        <v>0</v>
      </c>
      <c r="C43" s="51">
        <f>'Standard values'!C43</f>
        <v>0</v>
      </c>
      <c r="D43" s="51">
        <f>'Standard values'!D43</f>
        <v>0</v>
      </c>
      <c r="E43" s="51">
        <f>'Standard values'!E43</f>
        <v>0</v>
      </c>
      <c r="F43" s="51">
        <f>'Standard values'!F43</f>
        <v>0</v>
      </c>
      <c r="G43" s="51">
        <f>'Standard values'!G43</f>
        <v>0</v>
      </c>
      <c r="H43" s="52">
        <f t="shared" si="10"/>
        <v>0</v>
      </c>
      <c r="I43" s="52">
        <f t="shared" si="10"/>
        <v>0</v>
      </c>
      <c r="J43" s="53">
        <f t="shared" si="3"/>
        <v>0</v>
      </c>
      <c r="K43" s="54">
        <f t="shared" si="4"/>
        <v>0</v>
      </c>
      <c r="L43" s="55">
        <f t="shared" si="5"/>
        <v>0</v>
      </c>
      <c r="M43" s="55">
        <f t="shared" si="6"/>
        <v>0</v>
      </c>
      <c r="N43" s="55">
        <f t="shared" si="7"/>
        <v>0</v>
      </c>
      <c r="O43" s="53">
        <f t="shared" si="8"/>
        <v>0</v>
      </c>
      <c r="P43" s="54">
        <f t="shared" si="9"/>
        <v>0</v>
      </c>
      <c r="Q43" s="54">
        <f t="shared" si="1"/>
        <v>0</v>
      </c>
      <c r="R43" s="17">
        <v>5</v>
      </c>
      <c r="S43" s="113">
        <f>2.65/400</f>
        <v>0.006625</v>
      </c>
      <c r="T43" s="57">
        <f t="shared" si="2"/>
        <v>0.6625</v>
      </c>
      <c r="U43" s="15">
        <v>0.5</v>
      </c>
      <c r="V43" s="70" t="s">
        <v>208</v>
      </c>
      <c r="W43" s="74"/>
      <c r="X43" s="58"/>
      <c r="Y43" s="58"/>
      <c r="Z43" s="59"/>
      <c r="AD43" s="58"/>
      <c r="AE43" s="58"/>
      <c r="AF43" s="58"/>
    </row>
    <row r="44" spans="1:32" s="17" customFormat="1" ht="30" customHeight="1">
      <c r="A44" s="18" t="s">
        <v>46</v>
      </c>
      <c r="B44" s="51">
        <f>'Standard values'!B44</f>
        <v>0</v>
      </c>
      <c r="C44" s="51">
        <f>'Standard values'!C44</f>
        <v>0</v>
      </c>
      <c r="D44" s="51">
        <f>'Standard values'!D44</f>
        <v>0</v>
      </c>
      <c r="E44" s="51">
        <f>'Standard values'!E44</f>
        <v>0</v>
      </c>
      <c r="F44" s="51">
        <f>'Standard values'!F44</f>
        <v>0</v>
      </c>
      <c r="G44" s="51">
        <f>'Standard values'!G44</f>
        <v>0</v>
      </c>
      <c r="H44" s="52">
        <f t="shared" si="10"/>
        <v>0</v>
      </c>
      <c r="I44" s="52">
        <f t="shared" si="10"/>
        <v>0</v>
      </c>
      <c r="J44" s="53">
        <f t="shared" si="3"/>
        <v>0</v>
      </c>
      <c r="K44" s="54">
        <f t="shared" si="4"/>
        <v>0</v>
      </c>
      <c r="L44" s="55">
        <f t="shared" si="5"/>
        <v>0</v>
      </c>
      <c r="M44" s="55">
        <f t="shared" si="6"/>
        <v>0</v>
      </c>
      <c r="N44" s="55">
        <f t="shared" si="7"/>
        <v>0</v>
      </c>
      <c r="O44" s="53">
        <f t="shared" si="8"/>
        <v>0</v>
      </c>
      <c r="P44" s="54">
        <f t="shared" si="9"/>
        <v>0</v>
      </c>
      <c r="Q44" s="54">
        <f t="shared" si="1"/>
        <v>0</v>
      </c>
      <c r="R44" s="17">
        <v>200</v>
      </c>
      <c r="S44" s="113">
        <f>1.6/200</f>
        <v>0.008</v>
      </c>
      <c r="T44" s="57">
        <f t="shared" si="2"/>
        <v>0.8</v>
      </c>
      <c r="U44" s="17">
        <v>0</v>
      </c>
      <c r="V44" s="58" t="s">
        <v>211</v>
      </c>
      <c r="W44" s="74"/>
      <c r="X44" s="58"/>
      <c r="Y44" s="58"/>
      <c r="Z44" s="59"/>
      <c r="AD44" s="58"/>
      <c r="AE44" s="58"/>
      <c r="AF44" s="58"/>
    </row>
    <row r="45" spans="1:32" s="17" customFormat="1" ht="30" customHeight="1">
      <c r="A45" s="18" t="s">
        <v>47</v>
      </c>
      <c r="B45" s="51">
        <f>'Standard values'!B45</f>
        <v>0</v>
      </c>
      <c r="C45" s="51">
        <f>'Standard values'!C45</f>
        <v>0</v>
      </c>
      <c r="D45" s="51">
        <f>'Standard values'!D45</f>
        <v>0</v>
      </c>
      <c r="E45" s="51">
        <f>'Standard values'!E45</f>
        <v>0</v>
      </c>
      <c r="F45" s="51">
        <f>'Standard values'!F45</f>
        <v>0</v>
      </c>
      <c r="G45" s="51">
        <f>'Standard values'!G45</f>
        <v>0</v>
      </c>
      <c r="H45" s="52">
        <f t="shared" si="10"/>
        <v>0</v>
      </c>
      <c r="I45" s="52">
        <f t="shared" si="10"/>
        <v>0</v>
      </c>
      <c r="J45" s="53">
        <f t="shared" si="3"/>
        <v>0</v>
      </c>
      <c r="K45" s="54">
        <f t="shared" si="4"/>
        <v>0</v>
      </c>
      <c r="L45" s="55">
        <f t="shared" si="5"/>
        <v>0</v>
      </c>
      <c r="M45" s="55">
        <f t="shared" si="6"/>
        <v>0</v>
      </c>
      <c r="N45" s="55">
        <f t="shared" si="7"/>
        <v>0</v>
      </c>
      <c r="O45" s="53">
        <f t="shared" si="8"/>
        <v>0</v>
      </c>
      <c r="P45" s="54">
        <f t="shared" si="9"/>
        <v>0</v>
      </c>
      <c r="Q45" s="54">
        <f t="shared" si="1"/>
        <v>0</v>
      </c>
      <c r="R45" s="15">
        <v>5</v>
      </c>
      <c r="S45" s="113">
        <f>4/100</f>
        <v>0.04</v>
      </c>
      <c r="T45" s="57">
        <f t="shared" si="2"/>
        <v>4</v>
      </c>
      <c r="U45" s="17">
        <v>0.25</v>
      </c>
      <c r="V45" s="58" t="s">
        <v>402</v>
      </c>
      <c r="W45" s="74"/>
      <c r="X45" s="58"/>
      <c r="Y45" s="58"/>
      <c r="Z45" s="59"/>
      <c r="AD45" s="58"/>
      <c r="AE45" s="58"/>
      <c r="AF45" s="58"/>
    </row>
    <row r="46" spans="1:32" s="17" customFormat="1" ht="30" customHeight="1">
      <c r="A46" s="16" t="s">
        <v>48</v>
      </c>
      <c r="B46" s="51">
        <f>'Standard values'!B46</f>
        <v>0</v>
      </c>
      <c r="C46" s="51">
        <f>'Standard values'!C46</f>
        <v>0</v>
      </c>
      <c r="D46" s="51">
        <f>'Standard values'!D46</f>
        <v>0</v>
      </c>
      <c r="E46" s="51">
        <f>'Standard values'!E46</f>
        <v>0</v>
      </c>
      <c r="F46" s="51">
        <f>'Standard values'!F46</f>
        <v>0</v>
      </c>
      <c r="G46" s="51">
        <f>'Standard values'!G46</f>
        <v>0</v>
      </c>
      <c r="H46" s="52">
        <f t="shared" si="10"/>
        <v>0</v>
      </c>
      <c r="I46" s="52">
        <f t="shared" si="10"/>
        <v>0</v>
      </c>
      <c r="J46" s="53">
        <f t="shared" si="3"/>
        <v>0</v>
      </c>
      <c r="K46" s="54">
        <f t="shared" si="4"/>
        <v>0</v>
      </c>
      <c r="L46" s="55">
        <f t="shared" si="5"/>
        <v>0</v>
      </c>
      <c r="M46" s="55">
        <f t="shared" si="6"/>
        <v>0</v>
      </c>
      <c r="N46" s="55">
        <f t="shared" si="7"/>
        <v>0</v>
      </c>
      <c r="O46" s="53">
        <f t="shared" si="8"/>
        <v>0</v>
      </c>
      <c r="P46" s="54">
        <f t="shared" si="9"/>
        <v>0</v>
      </c>
      <c r="Q46" s="54">
        <f t="shared" si="1"/>
        <v>0</v>
      </c>
      <c r="R46" s="17">
        <v>60</v>
      </c>
      <c r="S46" s="113">
        <f>1.8/1000</f>
        <v>0.0018</v>
      </c>
      <c r="T46" s="57">
        <f t="shared" si="2"/>
        <v>0.18</v>
      </c>
      <c r="U46" s="17">
        <v>0</v>
      </c>
      <c r="V46" s="58" t="s">
        <v>214</v>
      </c>
      <c r="W46" s="74"/>
      <c r="X46" s="58"/>
      <c r="Y46" s="58"/>
      <c r="Z46" s="59"/>
      <c r="AD46" s="58"/>
      <c r="AE46" s="58"/>
      <c r="AF46" s="58"/>
    </row>
    <row r="47" spans="1:32" s="17" customFormat="1" ht="30" customHeight="1">
      <c r="A47" s="18" t="s">
        <v>49</v>
      </c>
      <c r="B47" s="51">
        <f>'Standard values'!B47</f>
        <v>0</v>
      </c>
      <c r="C47" s="51">
        <f>'Standard values'!C47</f>
        <v>0</v>
      </c>
      <c r="D47" s="51">
        <f>'Standard values'!D47</f>
        <v>0</v>
      </c>
      <c r="E47" s="51">
        <f>'Standard values'!E47</f>
        <v>0</v>
      </c>
      <c r="F47" s="51">
        <f>'Standard values'!F47</f>
        <v>0</v>
      </c>
      <c r="G47" s="51">
        <f>'Standard values'!G47</f>
        <v>0</v>
      </c>
      <c r="H47" s="52">
        <f t="shared" si="10"/>
        <v>0</v>
      </c>
      <c r="I47" s="52">
        <f t="shared" si="10"/>
        <v>0</v>
      </c>
      <c r="J47" s="53">
        <f t="shared" si="3"/>
        <v>0</v>
      </c>
      <c r="K47" s="54">
        <f t="shared" si="4"/>
        <v>0</v>
      </c>
      <c r="L47" s="55">
        <f t="shared" si="5"/>
        <v>0</v>
      </c>
      <c r="M47" s="55">
        <f t="shared" si="6"/>
        <v>0</v>
      </c>
      <c r="N47" s="55">
        <f t="shared" si="7"/>
        <v>0</v>
      </c>
      <c r="O47" s="53">
        <f t="shared" si="8"/>
        <v>0</v>
      </c>
      <c r="P47" s="54">
        <f t="shared" si="9"/>
        <v>0</v>
      </c>
      <c r="Q47" s="54">
        <f t="shared" si="1"/>
        <v>0</v>
      </c>
      <c r="R47" s="17">
        <v>600</v>
      </c>
      <c r="S47" s="113">
        <f>3.1/600</f>
        <v>0.005166666666666667</v>
      </c>
      <c r="T47" s="57">
        <f t="shared" si="2"/>
        <v>0.5166666666666666</v>
      </c>
      <c r="U47" s="17">
        <v>0</v>
      </c>
      <c r="V47" s="58" t="s">
        <v>344</v>
      </c>
      <c r="W47" s="74"/>
      <c r="X47" s="58"/>
      <c r="Y47" s="58"/>
      <c r="Z47" s="59"/>
      <c r="AD47" s="58"/>
      <c r="AE47" s="58"/>
      <c r="AF47" s="58"/>
    </row>
    <row r="48" spans="1:32" s="17" customFormat="1" ht="30" customHeight="1">
      <c r="A48" s="18" t="s">
        <v>50</v>
      </c>
      <c r="B48" s="51">
        <f>'Standard values'!B48</f>
        <v>0</v>
      </c>
      <c r="C48" s="51">
        <f>'Standard values'!C48</f>
        <v>0</v>
      </c>
      <c r="D48" s="51">
        <f>'Standard values'!D48</f>
        <v>0</v>
      </c>
      <c r="E48" s="51">
        <f>'Standard values'!E48</f>
        <v>0</v>
      </c>
      <c r="F48" s="51">
        <f>'Standard values'!F48</f>
        <v>0</v>
      </c>
      <c r="G48" s="51">
        <f>'Standard values'!G48</f>
        <v>0</v>
      </c>
      <c r="H48" s="52">
        <f t="shared" si="10"/>
        <v>0</v>
      </c>
      <c r="I48" s="52">
        <f t="shared" si="10"/>
        <v>0</v>
      </c>
      <c r="J48" s="53">
        <f t="shared" si="3"/>
        <v>0</v>
      </c>
      <c r="K48" s="54">
        <f t="shared" si="4"/>
        <v>0</v>
      </c>
      <c r="L48" s="55">
        <f t="shared" si="5"/>
        <v>0</v>
      </c>
      <c r="M48" s="55">
        <f t="shared" si="6"/>
        <v>0</v>
      </c>
      <c r="N48" s="55">
        <f t="shared" si="7"/>
        <v>0</v>
      </c>
      <c r="O48" s="53">
        <f t="shared" si="8"/>
        <v>0</v>
      </c>
      <c r="P48" s="54">
        <f t="shared" si="9"/>
        <v>0</v>
      </c>
      <c r="Q48" s="54">
        <f t="shared" si="1"/>
        <v>0</v>
      </c>
      <c r="R48" s="17">
        <v>450</v>
      </c>
      <c r="S48" s="113">
        <f>1.5/450</f>
        <v>0.0033333333333333335</v>
      </c>
      <c r="T48" s="57">
        <f t="shared" si="2"/>
        <v>0.33333333333333337</v>
      </c>
      <c r="U48" s="17">
        <v>0</v>
      </c>
      <c r="V48" s="58" t="s">
        <v>217</v>
      </c>
      <c r="W48" s="74"/>
      <c r="X48" s="58"/>
      <c r="Y48" s="58"/>
      <c r="Z48" s="59"/>
      <c r="AD48" s="58"/>
      <c r="AE48" s="58"/>
      <c r="AF48" s="58"/>
    </row>
    <row r="49" spans="1:32" s="17" customFormat="1" ht="30" customHeight="1">
      <c r="A49" s="18" t="s">
        <v>51</v>
      </c>
      <c r="B49" s="51">
        <f>'Standard values'!B49</f>
        <v>0</v>
      </c>
      <c r="C49" s="51">
        <f>'Standard values'!C49</f>
        <v>0</v>
      </c>
      <c r="D49" s="51">
        <f>'Standard values'!D49</f>
        <v>0</v>
      </c>
      <c r="E49" s="51">
        <f>'Standard values'!E49</f>
        <v>0</v>
      </c>
      <c r="F49" s="51">
        <f>'Standard values'!F49</f>
        <v>0</v>
      </c>
      <c r="G49" s="51">
        <f>'Standard values'!G49</f>
        <v>0</v>
      </c>
      <c r="H49" s="52">
        <f t="shared" si="10"/>
        <v>0</v>
      </c>
      <c r="I49" s="52">
        <f t="shared" si="10"/>
        <v>0</v>
      </c>
      <c r="J49" s="53">
        <f t="shared" si="3"/>
        <v>0</v>
      </c>
      <c r="K49" s="54">
        <f t="shared" si="4"/>
        <v>0</v>
      </c>
      <c r="L49" s="55">
        <f t="shared" si="5"/>
        <v>0</v>
      </c>
      <c r="M49" s="55">
        <f t="shared" si="6"/>
        <v>0</v>
      </c>
      <c r="N49" s="55">
        <f t="shared" si="7"/>
        <v>0</v>
      </c>
      <c r="O49" s="53">
        <f t="shared" si="8"/>
        <v>0</v>
      </c>
      <c r="P49" s="54">
        <f t="shared" si="9"/>
        <v>0</v>
      </c>
      <c r="Q49" s="54">
        <f t="shared" si="1"/>
        <v>0</v>
      </c>
      <c r="R49" s="15">
        <v>1</v>
      </c>
      <c r="S49" s="113">
        <f>3.05/250</f>
        <v>0.012199999999999999</v>
      </c>
      <c r="T49" s="57">
        <f t="shared" si="2"/>
        <v>1.22</v>
      </c>
      <c r="U49" s="17">
        <v>0</v>
      </c>
      <c r="V49" s="58" t="s">
        <v>219</v>
      </c>
      <c r="W49" s="74"/>
      <c r="X49" s="58"/>
      <c r="Y49" s="58"/>
      <c r="Z49" s="59"/>
      <c r="AD49" s="58"/>
      <c r="AE49" s="58"/>
      <c r="AF49" s="58"/>
    </row>
    <row r="50" spans="1:32" s="17" customFormat="1" ht="30" customHeight="1">
      <c r="A50" s="16" t="s">
        <v>52</v>
      </c>
      <c r="B50" s="51">
        <f>'Standard values'!B50</f>
        <v>0</v>
      </c>
      <c r="C50" s="51">
        <f>'Standard values'!C50</f>
        <v>0</v>
      </c>
      <c r="D50" s="51">
        <f>'Standard values'!D50</f>
        <v>0</v>
      </c>
      <c r="E50" s="51">
        <f>'Standard values'!E50</f>
        <v>0</v>
      </c>
      <c r="F50" s="51">
        <f>'Standard values'!F50</f>
        <v>0</v>
      </c>
      <c r="G50" s="51">
        <f>'Standard values'!G50</f>
        <v>0</v>
      </c>
      <c r="H50" s="52">
        <f t="shared" si="10"/>
        <v>0</v>
      </c>
      <c r="I50" s="52">
        <f t="shared" si="10"/>
        <v>0</v>
      </c>
      <c r="J50" s="53">
        <f t="shared" si="3"/>
        <v>0</v>
      </c>
      <c r="K50" s="54">
        <f t="shared" si="4"/>
        <v>0</v>
      </c>
      <c r="L50" s="55">
        <f t="shared" si="5"/>
        <v>0</v>
      </c>
      <c r="M50" s="55">
        <f t="shared" si="6"/>
        <v>0</v>
      </c>
      <c r="N50" s="55">
        <f t="shared" si="7"/>
        <v>0</v>
      </c>
      <c r="O50" s="53">
        <f t="shared" si="8"/>
        <v>0</v>
      </c>
      <c r="P50" s="54">
        <f t="shared" si="9"/>
        <v>0</v>
      </c>
      <c r="Q50" s="54">
        <f t="shared" si="1"/>
        <v>0</v>
      </c>
      <c r="R50" s="15">
        <v>5</v>
      </c>
      <c r="S50" s="113">
        <f>4.25/250</f>
        <v>0.017</v>
      </c>
      <c r="T50" s="57">
        <f t="shared" si="2"/>
        <v>1.7000000000000002</v>
      </c>
      <c r="U50" s="15">
        <v>0.9</v>
      </c>
      <c r="V50" s="58" t="s">
        <v>220</v>
      </c>
      <c r="W50" s="74"/>
      <c r="X50" s="58"/>
      <c r="Y50" s="58"/>
      <c r="Z50" s="59"/>
      <c r="AD50" s="58"/>
      <c r="AE50" s="58"/>
      <c r="AF50" s="58"/>
    </row>
    <row r="51" spans="1:32" s="17" customFormat="1" ht="30" customHeight="1">
      <c r="A51" s="16" t="s">
        <v>53</v>
      </c>
      <c r="B51" s="51">
        <f>'Standard values'!B51</f>
        <v>0</v>
      </c>
      <c r="C51" s="51">
        <f>'Standard values'!C51</f>
        <v>0</v>
      </c>
      <c r="D51" s="51">
        <f>'Standard values'!D51</f>
        <v>0</v>
      </c>
      <c r="E51" s="51">
        <f>'Standard values'!E51</f>
        <v>0</v>
      </c>
      <c r="F51" s="51">
        <f>'Standard values'!F51</f>
        <v>0</v>
      </c>
      <c r="G51" s="51">
        <f>'Standard values'!G51</f>
        <v>0</v>
      </c>
      <c r="H51" s="52">
        <f t="shared" si="10"/>
        <v>0</v>
      </c>
      <c r="I51" s="52">
        <f t="shared" si="10"/>
        <v>0</v>
      </c>
      <c r="J51" s="53">
        <f t="shared" si="3"/>
        <v>0</v>
      </c>
      <c r="K51" s="54">
        <f t="shared" si="4"/>
        <v>0</v>
      </c>
      <c r="L51" s="55">
        <f t="shared" si="5"/>
        <v>0</v>
      </c>
      <c r="M51" s="55">
        <f t="shared" si="6"/>
        <v>0</v>
      </c>
      <c r="N51" s="55">
        <f t="shared" si="7"/>
        <v>0</v>
      </c>
      <c r="O51" s="53">
        <f t="shared" si="8"/>
        <v>0</v>
      </c>
      <c r="P51" s="54">
        <f t="shared" si="9"/>
        <v>0</v>
      </c>
      <c r="Q51" s="54">
        <f t="shared" si="1"/>
        <v>0</v>
      </c>
      <c r="R51" s="17">
        <v>10</v>
      </c>
      <c r="S51" s="113">
        <f>2.95/500</f>
        <v>0.005900000000000001</v>
      </c>
      <c r="T51" s="57">
        <f t="shared" si="2"/>
        <v>0.5900000000000001</v>
      </c>
      <c r="U51" s="15">
        <v>0.25</v>
      </c>
      <c r="V51" s="58" t="s">
        <v>403</v>
      </c>
      <c r="W51" s="74"/>
      <c r="X51" s="58"/>
      <c r="Y51" s="58"/>
      <c r="Z51" s="59"/>
      <c r="AD51" s="58"/>
      <c r="AE51" s="58"/>
      <c r="AF51" s="58"/>
    </row>
    <row r="52" spans="1:32" s="17" customFormat="1" ht="30" customHeight="1">
      <c r="A52" s="18" t="s">
        <v>54</v>
      </c>
      <c r="B52" s="51">
        <f>'Standard values'!B52</f>
        <v>0</v>
      </c>
      <c r="C52" s="51">
        <f>'Standard values'!C52</f>
        <v>0</v>
      </c>
      <c r="D52" s="51">
        <f>'Standard values'!D52</f>
        <v>0</v>
      </c>
      <c r="E52" s="51">
        <f>'Standard values'!E52</f>
        <v>0</v>
      </c>
      <c r="F52" s="51">
        <f>'Standard values'!F52</f>
        <v>0</v>
      </c>
      <c r="G52" s="51">
        <f>'Standard values'!G52</f>
        <v>0</v>
      </c>
      <c r="H52" s="52">
        <f t="shared" si="10"/>
        <v>0</v>
      </c>
      <c r="I52" s="52">
        <f t="shared" si="10"/>
        <v>0</v>
      </c>
      <c r="J52" s="53">
        <f t="shared" si="3"/>
        <v>0</v>
      </c>
      <c r="K52" s="54">
        <f t="shared" si="4"/>
        <v>0</v>
      </c>
      <c r="L52" s="55">
        <f t="shared" si="5"/>
        <v>0</v>
      </c>
      <c r="M52" s="55">
        <f t="shared" si="6"/>
        <v>0</v>
      </c>
      <c r="N52" s="55">
        <f t="shared" si="7"/>
        <v>0</v>
      </c>
      <c r="O52" s="53">
        <f t="shared" si="8"/>
        <v>0</v>
      </c>
      <c r="P52" s="54">
        <f t="shared" si="9"/>
        <v>0</v>
      </c>
      <c r="Q52" s="54">
        <f t="shared" si="1"/>
        <v>0</v>
      </c>
      <c r="R52" s="17">
        <v>125</v>
      </c>
      <c r="S52" s="113">
        <f>(2.6/2)/125</f>
        <v>0.0104</v>
      </c>
      <c r="T52" s="57">
        <f t="shared" si="2"/>
        <v>1.04</v>
      </c>
      <c r="U52" s="17">
        <v>0</v>
      </c>
      <c r="V52" s="58" t="s">
        <v>225</v>
      </c>
      <c r="W52" s="74"/>
      <c r="X52" s="58"/>
      <c r="Y52" s="58"/>
      <c r="Z52" s="59"/>
      <c r="AD52" s="58"/>
      <c r="AE52" s="58"/>
      <c r="AF52" s="58"/>
    </row>
    <row r="53" spans="1:32" s="17" customFormat="1" ht="30" customHeight="1">
      <c r="A53" s="18" t="s">
        <v>55</v>
      </c>
      <c r="B53" s="51">
        <f>'Standard values'!B53</f>
        <v>0</v>
      </c>
      <c r="C53" s="51">
        <f>'Standard values'!C53</f>
        <v>0</v>
      </c>
      <c r="D53" s="51">
        <f>'Standard values'!D53</f>
        <v>0</v>
      </c>
      <c r="E53" s="51">
        <f>'Standard values'!E53</f>
        <v>0</v>
      </c>
      <c r="F53" s="51">
        <f>'Standard values'!F53</f>
        <v>0</v>
      </c>
      <c r="G53" s="51">
        <f>'Standard values'!G53</f>
        <v>0</v>
      </c>
      <c r="H53" s="52">
        <f t="shared" si="10"/>
        <v>0</v>
      </c>
      <c r="I53" s="52">
        <f t="shared" si="10"/>
        <v>0</v>
      </c>
      <c r="J53" s="53">
        <f t="shared" si="3"/>
        <v>0</v>
      </c>
      <c r="K53" s="54">
        <f t="shared" si="4"/>
        <v>0</v>
      </c>
      <c r="L53" s="55">
        <f t="shared" si="5"/>
        <v>0</v>
      </c>
      <c r="M53" s="55">
        <f t="shared" si="6"/>
        <v>0</v>
      </c>
      <c r="N53" s="55">
        <f t="shared" si="7"/>
        <v>0</v>
      </c>
      <c r="O53" s="53">
        <f t="shared" si="8"/>
        <v>0</v>
      </c>
      <c r="P53" s="54">
        <f t="shared" si="9"/>
        <v>0</v>
      </c>
      <c r="Q53" s="54">
        <f t="shared" si="1"/>
        <v>0</v>
      </c>
      <c r="R53" s="17">
        <v>20</v>
      </c>
      <c r="S53" s="113">
        <f>(2.25/3)/20</f>
        <v>0.0375</v>
      </c>
      <c r="T53" s="57">
        <f t="shared" si="2"/>
        <v>3.75</v>
      </c>
      <c r="U53" s="17">
        <v>0.1</v>
      </c>
      <c r="V53" s="58" t="s">
        <v>404</v>
      </c>
      <c r="W53" s="74"/>
      <c r="X53" s="58"/>
      <c r="Y53" s="58"/>
      <c r="Z53" s="59"/>
      <c r="AD53" s="58"/>
      <c r="AE53" s="58"/>
      <c r="AF53" s="58"/>
    </row>
    <row r="54" spans="1:32" s="17" customFormat="1" ht="30" customHeight="1">
      <c r="A54" s="18" t="s">
        <v>56</v>
      </c>
      <c r="B54" s="51">
        <f>'Standard values'!B54</f>
        <v>0</v>
      </c>
      <c r="C54" s="51">
        <f>'Standard values'!C54</f>
        <v>0</v>
      </c>
      <c r="D54" s="51">
        <f>'Standard values'!D54</f>
        <v>0</v>
      </c>
      <c r="E54" s="51">
        <f>'Standard values'!E54</f>
        <v>0</v>
      </c>
      <c r="F54" s="51">
        <f>'Standard values'!F54</f>
        <v>0</v>
      </c>
      <c r="G54" s="51">
        <f>'Standard values'!G54</f>
        <v>0</v>
      </c>
      <c r="H54" s="52">
        <f t="shared" si="10"/>
        <v>0</v>
      </c>
      <c r="I54" s="52">
        <f t="shared" si="10"/>
        <v>0</v>
      </c>
      <c r="J54" s="53">
        <f t="shared" si="3"/>
        <v>0</v>
      </c>
      <c r="K54" s="54">
        <f t="shared" si="4"/>
        <v>0</v>
      </c>
      <c r="L54" s="55">
        <f t="shared" si="5"/>
        <v>0</v>
      </c>
      <c r="M54" s="55">
        <f t="shared" si="6"/>
        <v>0</v>
      </c>
      <c r="N54" s="55">
        <f t="shared" si="7"/>
        <v>0</v>
      </c>
      <c r="O54" s="53">
        <f t="shared" si="8"/>
        <v>0</v>
      </c>
      <c r="P54" s="54">
        <f t="shared" si="9"/>
        <v>0</v>
      </c>
      <c r="Q54" s="54">
        <f t="shared" si="1"/>
        <v>0</v>
      </c>
      <c r="S54" s="113">
        <f>2.25/30</f>
        <v>0.075</v>
      </c>
      <c r="T54" s="57">
        <f t="shared" si="2"/>
        <v>7.5</v>
      </c>
      <c r="U54" s="17">
        <v>0</v>
      </c>
      <c r="V54" s="58" t="s">
        <v>228</v>
      </c>
      <c r="W54" s="74"/>
      <c r="X54" s="58"/>
      <c r="Y54" s="58"/>
      <c r="Z54" s="59"/>
      <c r="AD54" s="58"/>
      <c r="AE54" s="58"/>
      <c r="AF54" s="58"/>
    </row>
    <row r="55" spans="1:32" s="17" customFormat="1" ht="30" customHeight="1">
      <c r="A55" s="18" t="s">
        <v>57</v>
      </c>
      <c r="B55" s="51">
        <f>'Standard values'!B55</f>
        <v>0</v>
      </c>
      <c r="C55" s="51">
        <f>'Standard values'!C55</f>
        <v>0</v>
      </c>
      <c r="D55" s="51">
        <f>'Standard values'!D55</f>
        <v>0</v>
      </c>
      <c r="E55" s="51">
        <f>'Standard values'!E55</f>
        <v>0</v>
      </c>
      <c r="F55" s="51">
        <f>'Standard values'!F55</f>
        <v>0</v>
      </c>
      <c r="G55" s="51">
        <f>'Standard values'!G55</f>
        <v>0</v>
      </c>
      <c r="H55" s="52">
        <f t="shared" si="10"/>
        <v>0</v>
      </c>
      <c r="I55" s="52">
        <f t="shared" si="10"/>
        <v>0</v>
      </c>
      <c r="J55" s="53">
        <f t="shared" si="3"/>
        <v>0</v>
      </c>
      <c r="K55" s="54">
        <f t="shared" si="4"/>
        <v>0</v>
      </c>
      <c r="L55" s="55">
        <f t="shared" si="5"/>
        <v>0</v>
      </c>
      <c r="M55" s="55">
        <f t="shared" si="6"/>
        <v>0</v>
      </c>
      <c r="N55" s="55">
        <f>G55*30</f>
        <v>0</v>
      </c>
      <c r="O55" s="53">
        <f t="shared" si="8"/>
        <v>0</v>
      </c>
      <c r="P55" s="54">
        <f t="shared" si="9"/>
        <v>0</v>
      </c>
      <c r="Q55" s="54">
        <f t="shared" si="1"/>
        <v>0</v>
      </c>
      <c r="R55" s="15"/>
      <c r="S55" s="113">
        <f>0.625/10</f>
        <v>0.0625</v>
      </c>
      <c r="T55" s="57">
        <f t="shared" si="2"/>
        <v>6.25</v>
      </c>
      <c r="U55" s="17">
        <v>0</v>
      </c>
      <c r="V55" s="58" t="s">
        <v>380</v>
      </c>
      <c r="W55" s="74" t="s">
        <v>231</v>
      </c>
      <c r="X55" s="58"/>
      <c r="Y55" s="58"/>
      <c r="Z55" s="59"/>
      <c r="AD55" s="58"/>
      <c r="AE55" s="58"/>
      <c r="AF55" s="58"/>
    </row>
    <row r="56" spans="1:32" s="17" customFormat="1" ht="30" customHeight="1">
      <c r="A56" s="16" t="s">
        <v>58</v>
      </c>
      <c r="B56" s="51">
        <f>'Standard values'!B56</f>
        <v>0</v>
      </c>
      <c r="C56" s="51">
        <f>'Standard values'!C56</f>
        <v>0</v>
      </c>
      <c r="D56" s="51">
        <f>'Standard values'!D56</f>
        <v>0</v>
      </c>
      <c r="E56" s="51">
        <f>'Standard values'!E56</f>
        <v>0</v>
      </c>
      <c r="F56" s="51">
        <f>'Standard values'!F56</f>
        <v>0</v>
      </c>
      <c r="G56" s="51">
        <f>'Standard values'!G56</f>
        <v>0</v>
      </c>
      <c r="H56" s="52">
        <f aca="true" t="shared" si="11" ref="H56:I71">P56</f>
        <v>0</v>
      </c>
      <c r="I56" s="52">
        <f t="shared" si="11"/>
        <v>0</v>
      </c>
      <c r="J56" s="53">
        <f t="shared" si="3"/>
        <v>0</v>
      </c>
      <c r="K56" s="54">
        <f t="shared" si="4"/>
        <v>0</v>
      </c>
      <c r="L56" s="55">
        <f t="shared" si="5"/>
        <v>0</v>
      </c>
      <c r="M56" s="55">
        <f t="shared" si="6"/>
        <v>0</v>
      </c>
      <c r="N56" s="55">
        <f t="shared" si="7"/>
        <v>0</v>
      </c>
      <c r="O56" s="53">
        <f t="shared" si="8"/>
        <v>0</v>
      </c>
      <c r="P56" s="54">
        <f t="shared" si="9"/>
        <v>0</v>
      </c>
      <c r="Q56" s="54">
        <f t="shared" si="1"/>
        <v>0</v>
      </c>
      <c r="R56" s="17">
        <v>200</v>
      </c>
      <c r="S56" s="113">
        <f>8.34/300</f>
        <v>0.0278</v>
      </c>
      <c r="T56" s="57">
        <f t="shared" si="2"/>
        <v>2.78</v>
      </c>
      <c r="U56" s="15">
        <v>1</v>
      </c>
      <c r="V56" s="58" t="s">
        <v>233</v>
      </c>
      <c r="W56" s="74"/>
      <c r="X56" s="58"/>
      <c r="Y56" s="58"/>
      <c r="Z56" s="59"/>
      <c r="AD56" s="58"/>
      <c r="AE56" s="58"/>
      <c r="AF56" s="58"/>
    </row>
    <row r="57" spans="1:32" s="17" customFormat="1" ht="30" customHeight="1">
      <c r="A57" s="18" t="s">
        <v>59</v>
      </c>
      <c r="B57" s="51">
        <f>'Standard values'!B57</f>
        <v>0</v>
      </c>
      <c r="C57" s="51">
        <f>'Standard values'!C57</f>
        <v>0</v>
      </c>
      <c r="D57" s="51">
        <f>'Standard values'!D57</f>
        <v>0</v>
      </c>
      <c r="E57" s="51">
        <f>'Standard values'!E57</f>
        <v>0</v>
      </c>
      <c r="F57" s="51">
        <f>'Standard values'!F57</f>
        <v>0</v>
      </c>
      <c r="G57" s="51">
        <f>'Standard values'!G57</f>
        <v>0</v>
      </c>
      <c r="H57" s="52">
        <f t="shared" si="11"/>
        <v>0</v>
      </c>
      <c r="I57" s="52">
        <f t="shared" si="11"/>
        <v>0</v>
      </c>
      <c r="J57" s="53">
        <f t="shared" si="3"/>
        <v>0</v>
      </c>
      <c r="K57" s="54">
        <f t="shared" si="4"/>
        <v>0</v>
      </c>
      <c r="L57" s="55">
        <f t="shared" si="5"/>
        <v>0</v>
      </c>
      <c r="M57" s="55">
        <f t="shared" si="6"/>
        <v>0</v>
      </c>
      <c r="N57" s="55">
        <f t="shared" si="7"/>
        <v>0</v>
      </c>
      <c r="O57" s="53">
        <f t="shared" si="8"/>
        <v>0</v>
      </c>
      <c r="P57" s="54">
        <f t="shared" si="9"/>
        <v>0</v>
      </c>
      <c r="Q57" s="54">
        <f t="shared" si="1"/>
        <v>0</v>
      </c>
      <c r="R57" s="17">
        <v>20</v>
      </c>
      <c r="S57" s="113">
        <f>0.607/100</f>
        <v>0.00607</v>
      </c>
      <c r="T57" s="57">
        <f t="shared" si="2"/>
        <v>0.607</v>
      </c>
      <c r="U57" s="17">
        <v>1</v>
      </c>
      <c r="V57" s="115" t="s">
        <v>400</v>
      </c>
      <c r="W57" s="74"/>
      <c r="X57" s="58"/>
      <c r="Y57" s="58"/>
      <c r="Z57" s="59"/>
      <c r="AD57" s="58"/>
      <c r="AE57" s="58"/>
      <c r="AF57" s="58"/>
    </row>
    <row r="58" spans="1:32" s="17" customFormat="1" ht="30" customHeight="1">
      <c r="A58" s="18" t="s">
        <v>60</v>
      </c>
      <c r="B58" s="51">
        <f>'Standard values'!B58</f>
        <v>0</v>
      </c>
      <c r="C58" s="51">
        <f>'Standard values'!C58</f>
        <v>0</v>
      </c>
      <c r="D58" s="51">
        <f>'Standard values'!D58</f>
        <v>0</v>
      </c>
      <c r="E58" s="51">
        <f>'Standard values'!E58</f>
        <v>0</v>
      </c>
      <c r="F58" s="51">
        <f>'Standard values'!F58</f>
        <v>0</v>
      </c>
      <c r="G58" s="51">
        <f>'Standard values'!G58</f>
        <v>0</v>
      </c>
      <c r="H58" s="52">
        <f t="shared" si="11"/>
        <v>0</v>
      </c>
      <c r="I58" s="52">
        <f t="shared" si="11"/>
        <v>0</v>
      </c>
      <c r="J58" s="53">
        <f t="shared" si="3"/>
        <v>0</v>
      </c>
      <c r="K58" s="54">
        <f t="shared" si="4"/>
        <v>0</v>
      </c>
      <c r="L58" s="55">
        <f t="shared" si="5"/>
        <v>0</v>
      </c>
      <c r="M58" s="55">
        <f t="shared" si="6"/>
        <v>0</v>
      </c>
      <c r="N58" s="55">
        <f t="shared" si="7"/>
        <v>0</v>
      </c>
      <c r="O58" s="53">
        <f t="shared" si="8"/>
        <v>0</v>
      </c>
      <c r="P58" s="54">
        <f t="shared" si="9"/>
        <v>0</v>
      </c>
      <c r="Q58" s="54">
        <f t="shared" si="1"/>
        <v>0</v>
      </c>
      <c r="R58" s="17">
        <v>1</v>
      </c>
      <c r="S58" s="113">
        <f>2.77/100</f>
        <v>0.0277</v>
      </c>
      <c r="T58" s="57">
        <f t="shared" si="2"/>
        <v>2.77</v>
      </c>
      <c r="U58" s="15">
        <v>1</v>
      </c>
      <c r="V58" s="58" t="s">
        <v>399</v>
      </c>
      <c r="W58" s="74"/>
      <c r="X58" s="58"/>
      <c r="Y58" s="58"/>
      <c r="Z58" s="59"/>
      <c r="AD58" s="58"/>
      <c r="AE58" s="58"/>
      <c r="AF58" s="58"/>
    </row>
    <row r="59" spans="1:32" s="17" customFormat="1" ht="30" customHeight="1">
      <c r="A59" s="16" t="s">
        <v>61</v>
      </c>
      <c r="B59" s="51">
        <f>'Standard values'!B59</f>
        <v>0</v>
      </c>
      <c r="C59" s="51">
        <f>'Standard values'!C59</f>
        <v>0</v>
      </c>
      <c r="D59" s="51">
        <f>'Standard values'!D59</f>
        <v>0</v>
      </c>
      <c r="E59" s="51">
        <f>'Standard values'!E59</f>
        <v>0</v>
      </c>
      <c r="F59" s="51">
        <f>'Standard values'!F59</f>
        <v>0</v>
      </c>
      <c r="G59" s="51">
        <f>'Standard values'!G59</f>
        <v>0</v>
      </c>
      <c r="H59" s="52">
        <f t="shared" si="11"/>
        <v>0</v>
      </c>
      <c r="I59" s="52">
        <f t="shared" si="11"/>
        <v>0</v>
      </c>
      <c r="J59" s="53">
        <f t="shared" si="3"/>
        <v>0</v>
      </c>
      <c r="K59" s="54">
        <f t="shared" si="4"/>
        <v>0</v>
      </c>
      <c r="L59" s="55">
        <f t="shared" si="5"/>
        <v>0</v>
      </c>
      <c r="M59" s="55">
        <f t="shared" si="6"/>
        <v>0</v>
      </c>
      <c r="N59" s="55">
        <f t="shared" si="7"/>
        <v>0</v>
      </c>
      <c r="O59" s="53">
        <f t="shared" si="8"/>
        <v>0</v>
      </c>
      <c r="P59" s="54">
        <f t="shared" si="9"/>
        <v>0</v>
      </c>
      <c r="Q59" s="54">
        <f t="shared" si="1"/>
        <v>0</v>
      </c>
      <c r="R59" s="17">
        <v>300</v>
      </c>
      <c r="S59" s="113">
        <f>1.45/300</f>
        <v>0.004833333333333334</v>
      </c>
      <c r="T59" s="57">
        <f t="shared" si="2"/>
        <v>0.48333333333333334</v>
      </c>
      <c r="U59" s="15">
        <v>0.9</v>
      </c>
      <c r="V59" s="70" t="s">
        <v>239</v>
      </c>
      <c r="W59" s="74"/>
      <c r="X59" s="58"/>
      <c r="Y59" s="58"/>
      <c r="Z59" s="59"/>
      <c r="AD59" s="58"/>
      <c r="AE59" s="58"/>
      <c r="AF59" s="58"/>
    </row>
    <row r="60" spans="1:32" s="17" customFormat="1" ht="30" customHeight="1">
      <c r="A60" s="18" t="s">
        <v>62</v>
      </c>
      <c r="B60" s="51">
        <f>'Standard values'!B60</f>
        <v>0</v>
      </c>
      <c r="C60" s="51">
        <f>'Standard values'!C60</f>
        <v>0</v>
      </c>
      <c r="D60" s="51">
        <f>'Standard values'!D60</f>
        <v>0</v>
      </c>
      <c r="E60" s="51">
        <f>'Standard values'!E60</f>
        <v>0</v>
      </c>
      <c r="F60" s="51">
        <f>'Standard values'!F60</f>
        <v>0</v>
      </c>
      <c r="G60" s="51">
        <f>'Standard values'!G60</f>
        <v>0</v>
      </c>
      <c r="H60" s="52">
        <f t="shared" si="11"/>
        <v>0</v>
      </c>
      <c r="I60" s="52">
        <f t="shared" si="11"/>
        <v>0</v>
      </c>
      <c r="J60" s="53">
        <f t="shared" si="3"/>
        <v>0</v>
      </c>
      <c r="K60" s="54">
        <f t="shared" si="4"/>
        <v>0</v>
      </c>
      <c r="L60" s="55">
        <f t="shared" si="5"/>
        <v>0</v>
      </c>
      <c r="M60" s="55">
        <f t="shared" si="6"/>
        <v>0</v>
      </c>
      <c r="N60" s="55">
        <f t="shared" si="7"/>
        <v>0</v>
      </c>
      <c r="O60" s="53">
        <f t="shared" si="8"/>
        <v>0</v>
      </c>
      <c r="P60" s="54">
        <f t="shared" si="9"/>
        <v>0</v>
      </c>
      <c r="Q60" s="54">
        <f t="shared" si="1"/>
        <v>0</v>
      </c>
      <c r="R60" s="15">
        <v>170</v>
      </c>
      <c r="S60" s="113">
        <f>1.3/170</f>
        <v>0.007647058823529412</v>
      </c>
      <c r="T60" s="57">
        <f t="shared" si="2"/>
        <v>0.7647058823529412</v>
      </c>
      <c r="U60" s="17">
        <v>0</v>
      </c>
      <c r="V60" s="70" t="s">
        <v>241</v>
      </c>
      <c r="W60" s="74"/>
      <c r="X60" s="58"/>
      <c r="Y60" s="58"/>
      <c r="Z60" s="59"/>
      <c r="AD60" s="58"/>
      <c r="AE60" s="58"/>
      <c r="AF60" s="58"/>
    </row>
    <row r="61" spans="1:32" s="17" customFormat="1" ht="30" customHeight="1">
      <c r="A61" s="16" t="s">
        <v>63</v>
      </c>
      <c r="B61" s="51">
        <f>'Standard values'!B61</f>
        <v>0</v>
      </c>
      <c r="C61" s="51">
        <f>'Standard values'!C61</f>
        <v>0</v>
      </c>
      <c r="D61" s="51">
        <f>'Standard values'!D61</f>
        <v>0</v>
      </c>
      <c r="E61" s="51">
        <f>'Standard values'!E61</f>
        <v>0</v>
      </c>
      <c r="F61" s="51">
        <f>'Standard values'!F61</f>
        <v>0</v>
      </c>
      <c r="G61" s="51">
        <f>'Standard values'!G61</f>
        <v>0</v>
      </c>
      <c r="H61" s="52">
        <f t="shared" si="11"/>
        <v>0</v>
      </c>
      <c r="I61" s="52">
        <f t="shared" si="11"/>
        <v>0</v>
      </c>
      <c r="J61" s="53">
        <f t="shared" si="3"/>
        <v>0</v>
      </c>
      <c r="K61" s="54">
        <f t="shared" si="4"/>
        <v>0</v>
      </c>
      <c r="L61" s="55">
        <f t="shared" si="5"/>
        <v>0</v>
      </c>
      <c r="M61" s="55">
        <f t="shared" si="6"/>
        <v>0</v>
      </c>
      <c r="N61" s="55">
        <f t="shared" si="7"/>
        <v>0</v>
      </c>
      <c r="O61" s="53">
        <f t="shared" si="8"/>
        <v>0</v>
      </c>
      <c r="P61" s="54">
        <f t="shared" si="9"/>
        <v>0</v>
      </c>
      <c r="Q61" s="54">
        <f t="shared" si="1"/>
        <v>0</v>
      </c>
      <c r="R61" s="15">
        <v>5</v>
      </c>
      <c r="S61" s="113">
        <f>2.65/400</f>
        <v>0.006625</v>
      </c>
      <c r="T61" s="57">
        <f t="shared" si="2"/>
        <v>0.6625</v>
      </c>
      <c r="U61" s="15">
        <v>0.5</v>
      </c>
      <c r="V61" s="70" t="s">
        <v>208</v>
      </c>
      <c r="W61" s="74"/>
      <c r="X61" s="58"/>
      <c r="Y61" s="58"/>
      <c r="Z61" s="59"/>
      <c r="AD61" s="58"/>
      <c r="AE61" s="58"/>
      <c r="AF61" s="58"/>
    </row>
    <row r="62" spans="1:32" s="17" customFormat="1" ht="30" customHeight="1">
      <c r="A62" s="16" t="s">
        <v>65</v>
      </c>
      <c r="B62" s="51">
        <f>'Standard values'!B62</f>
        <v>0</v>
      </c>
      <c r="C62" s="51">
        <f>'Standard values'!C62</f>
        <v>0</v>
      </c>
      <c r="D62" s="51">
        <f>'Standard values'!D62</f>
        <v>0</v>
      </c>
      <c r="E62" s="51">
        <f>'Standard values'!E62</f>
        <v>0</v>
      </c>
      <c r="F62" s="51">
        <f>'Standard values'!F62</f>
        <v>0</v>
      </c>
      <c r="G62" s="51">
        <f>'Standard values'!G62</f>
        <v>0</v>
      </c>
      <c r="H62" s="52">
        <f t="shared" si="11"/>
        <v>0</v>
      </c>
      <c r="I62" s="52">
        <f t="shared" si="11"/>
        <v>0</v>
      </c>
      <c r="J62" s="53">
        <f t="shared" si="3"/>
        <v>0</v>
      </c>
      <c r="K62" s="54">
        <f t="shared" si="4"/>
        <v>0</v>
      </c>
      <c r="L62" s="55">
        <f t="shared" si="5"/>
        <v>0</v>
      </c>
      <c r="M62" s="55">
        <f t="shared" si="6"/>
        <v>0</v>
      </c>
      <c r="N62" s="55">
        <f t="shared" si="7"/>
        <v>0</v>
      </c>
      <c r="O62" s="53">
        <f t="shared" si="8"/>
        <v>0</v>
      </c>
      <c r="P62" s="54">
        <f t="shared" si="9"/>
        <v>0</v>
      </c>
      <c r="Q62" s="54">
        <f t="shared" si="1"/>
        <v>0</v>
      </c>
      <c r="R62" s="17">
        <v>1</v>
      </c>
      <c r="S62" s="113">
        <f>7.18/100</f>
        <v>0.0718</v>
      </c>
      <c r="T62" s="57">
        <f t="shared" si="2"/>
        <v>7.180000000000001</v>
      </c>
      <c r="U62" s="15">
        <v>0.25</v>
      </c>
      <c r="V62" s="74" t="s">
        <v>243</v>
      </c>
      <c r="W62" s="74" t="s">
        <v>242</v>
      </c>
      <c r="X62" s="58"/>
      <c r="Y62" s="58"/>
      <c r="Z62" s="59"/>
      <c r="AD62" s="58"/>
      <c r="AE62" s="58"/>
      <c r="AF62" s="58"/>
    </row>
    <row r="63" spans="1:32" s="17" customFormat="1" ht="30" customHeight="1">
      <c r="A63" s="18" t="s">
        <v>66</v>
      </c>
      <c r="B63" s="51">
        <f>'Standard values'!B63</f>
        <v>0</v>
      </c>
      <c r="C63" s="51">
        <f>'Standard values'!C63</f>
        <v>0</v>
      </c>
      <c r="D63" s="51">
        <f>'Standard values'!D63</f>
        <v>0</v>
      </c>
      <c r="E63" s="51">
        <f>'Standard values'!E63</f>
        <v>0</v>
      </c>
      <c r="F63" s="51">
        <f>'Standard values'!F63</f>
        <v>0</v>
      </c>
      <c r="G63" s="51">
        <f>'Standard values'!G63</f>
        <v>0</v>
      </c>
      <c r="H63" s="52">
        <f t="shared" si="11"/>
        <v>0</v>
      </c>
      <c r="I63" s="52">
        <f t="shared" si="11"/>
        <v>0</v>
      </c>
      <c r="J63" s="53">
        <f t="shared" si="3"/>
        <v>0</v>
      </c>
      <c r="K63" s="54">
        <f t="shared" si="4"/>
        <v>0</v>
      </c>
      <c r="L63" s="55">
        <f t="shared" si="5"/>
        <v>0</v>
      </c>
      <c r="M63" s="55">
        <f t="shared" si="6"/>
        <v>0</v>
      </c>
      <c r="N63" s="55">
        <f t="shared" si="7"/>
        <v>0</v>
      </c>
      <c r="O63" s="53">
        <f t="shared" si="8"/>
        <v>0</v>
      </c>
      <c r="P63" s="54">
        <f t="shared" si="9"/>
        <v>0</v>
      </c>
      <c r="Q63" s="54">
        <f t="shared" si="1"/>
        <v>0</v>
      </c>
      <c r="R63" s="15">
        <v>300</v>
      </c>
      <c r="S63" s="113">
        <f>2.75/300</f>
        <v>0.009166666666666667</v>
      </c>
      <c r="T63" s="57">
        <f t="shared" si="2"/>
        <v>0.9166666666666666</v>
      </c>
      <c r="U63" s="17">
        <v>0</v>
      </c>
      <c r="V63" s="58" t="s">
        <v>407</v>
      </c>
      <c r="W63" s="74"/>
      <c r="X63" s="58"/>
      <c r="Y63" s="58"/>
      <c r="Z63" s="59"/>
      <c r="AD63" s="58"/>
      <c r="AE63" s="58"/>
      <c r="AF63" s="58"/>
    </row>
    <row r="64" spans="1:32" s="17" customFormat="1" ht="30" customHeight="1">
      <c r="A64" s="16" t="s">
        <v>67</v>
      </c>
      <c r="B64" s="51">
        <f>'Standard values'!B64</f>
        <v>0</v>
      </c>
      <c r="C64" s="51">
        <f>'Standard values'!C64</f>
        <v>0</v>
      </c>
      <c r="D64" s="51">
        <f>'Standard values'!D64</f>
        <v>0</v>
      </c>
      <c r="E64" s="51">
        <f>'Standard values'!E64</f>
        <v>0</v>
      </c>
      <c r="F64" s="51">
        <f>'Standard values'!F64</f>
        <v>0</v>
      </c>
      <c r="G64" s="51">
        <f>'Standard values'!G64</f>
        <v>0</v>
      </c>
      <c r="H64" s="52">
        <f t="shared" si="11"/>
        <v>0</v>
      </c>
      <c r="I64" s="52">
        <f t="shared" si="11"/>
        <v>0</v>
      </c>
      <c r="J64" s="53">
        <f t="shared" si="3"/>
        <v>0</v>
      </c>
      <c r="K64" s="54">
        <f t="shared" si="4"/>
        <v>0</v>
      </c>
      <c r="L64" s="55">
        <f t="shared" si="5"/>
        <v>0</v>
      </c>
      <c r="M64" s="55">
        <f t="shared" si="6"/>
        <v>0</v>
      </c>
      <c r="N64" s="55">
        <f t="shared" si="7"/>
        <v>0</v>
      </c>
      <c r="O64" s="53">
        <f t="shared" si="8"/>
        <v>0</v>
      </c>
      <c r="P64" s="54">
        <f t="shared" si="9"/>
        <v>0</v>
      </c>
      <c r="Q64" s="54">
        <f t="shared" si="1"/>
        <v>0</v>
      </c>
      <c r="R64" s="17">
        <f>330/6</f>
        <v>55</v>
      </c>
      <c r="S64" s="113">
        <f>3.75/250</f>
        <v>0.015</v>
      </c>
      <c r="T64" s="57">
        <f t="shared" si="2"/>
        <v>1.5</v>
      </c>
      <c r="U64" s="15">
        <v>0</v>
      </c>
      <c r="V64" s="58" t="s">
        <v>408</v>
      </c>
      <c r="W64" s="74"/>
      <c r="X64" s="58"/>
      <c r="Y64" s="58"/>
      <c r="Z64" s="59"/>
      <c r="AD64" s="58"/>
      <c r="AE64" s="58"/>
      <c r="AF64" s="58"/>
    </row>
    <row r="65" spans="1:32" s="17" customFormat="1" ht="30" customHeight="1">
      <c r="A65" s="16" t="s">
        <v>68</v>
      </c>
      <c r="B65" s="51">
        <f>'Standard values'!B65</f>
        <v>0</v>
      </c>
      <c r="C65" s="51">
        <f>'Standard values'!C65</f>
        <v>0</v>
      </c>
      <c r="D65" s="51">
        <f>'Standard values'!D65</f>
        <v>0</v>
      </c>
      <c r="E65" s="51">
        <f>'Standard values'!E65</f>
        <v>0</v>
      </c>
      <c r="F65" s="51">
        <f>'Standard values'!F65</f>
        <v>0</v>
      </c>
      <c r="G65" s="51">
        <f>'Standard values'!G65</f>
        <v>0</v>
      </c>
      <c r="H65" s="52">
        <f t="shared" si="11"/>
        <v>0</v>
      </c>
      <c r="I65" s="52">
        <f t="shared" si="11"/>
        <v>0</v>
      </c>
      <c r="J65" s="53">
        <f t="shared" si="3"/>
        <v>0</v>
      </c>
      <c r="K65" s="54">
        <f t="shared" si="4"/>
        <v>0</v>
      </c>
      <c r="L65" s="55">
        <f t="shared" si="5"/>
        <v>0</v>
      </c>
      <c r="M65" s="55">
        <f t="shared" si="6"/>
        <v>0</v>
      </c>
      <c r="N65" s="55">
        <f>G65*30</f>
        <v>0</v>
      </c>
      <c r="O65" s="53">
        <f t="shared" si="8"/>
        <v>0</v>
      </c>
      <c r="P65" s="54">
        <f t="shared" si="9"/>
        <v>0</v>
      </c>
      <c r="Q65" s="54">
        <f t="shared" si="1"/>
        <v>0</v>
      </c>
      <c r="S65" s="113">
        <f>2.25/30</f>
        <v>0.075</v>
      </c>
      <c r="T65" s="57">
        <f t="shared" si="2"/>
        <v>7.5</v>
      </c>
      <c r="U65" s="15">
        <v>0</v>
      </c>
      <c r="V65" s="58" t="s">
        <v>345</v>
      </c>
      <c r="W65" s="74"/>
      <c r="X65" s="58"/>
      <c r="Y65" s="58"/>
      <c r="Z65" s="59"/>
      <c r="AD65" s="58"/>
      <c r="AE65" s="58"/>
      <c r="AF65" s="58"/>
    </row>
    <row r="66" spans="1:32" s="17" customFormat="1" ht="30" customHeight="1">
      <c r="A66" s="18" t="s">
        <v>69</v>
      </c>
      <c r="B66" s="51">
        <f>'Standard values'!B66</f>
        <v>0</v>
      </c>
      <c r="C66" s="51">
        <f>'Standard values'!C66</f>
        <v>0</v>
      </c>
      <c r="D66" s="51">
        <f>'Standard values'!D66</f>
        <v>0</v>
      </c>
      <c r="E66" s="51">
        <f>'Standard values'!E66</f>
        <v>0</v>
      </c>
      <c r="F66" s="51">
        <f>'Standard values'!F66</f>
        <v>0</v>
      </c>
      <c r="G66" s="51">
        <f>'Standard values'!G66</f>
        <v>0</v>
      </c>
      <c r="H66" s="52">
        <f t="shared" si="11"/>
        <v>0</v>
      </c>
      <c r="I66" s="52">
        <f t="shared" si="11"/>
        <v>0</v>
      </c>
      <c r="J66" s="53">
        <f t="shared" si="3"/>
        <v>0</v>
      </c>
      <c r="K66" s="54">
        <f t="shared" si="4"/>
        <v>0</v>
      </c>
      <c r="L66" s="55">
        <f t="shared" si="5"/>
        <v>0</v>
      </c>
      <c r="M66" s="55">
        <f t="shared" si="6"/>
        <v>0</v>
      </c>
      <c r="N66" s="55">
        <f t="shared" si="7"/>
        <v>0</v>
      </c>
      <c r="O66" s="53">
        <f t="shared" si="8"/>
        <v>0</v>
      </c>
      <c r="P66" s="54">
        <f t="shared" si="9"/>
        <v>0</v>
      </c>
      <c r="Q66" s="54">
        <f t="shared" si="1"/>
        <v>0</v>
      </c>
      <c r="R66" s="17">
        <v>30</v>
      </c>
      <c r="S66" s="113">
        <f>0.383/30</f>
        <v>0.012766666666666667</v>
      </c>
      <c r="T66" s="57">
        <f t="shared" si="2"/>
        <v>1.2766666666666668</v>
      </c>
      <c r="U66" s="17">
        <v>0</v>
      </c>
      <c r="V66" s="58" t="s">
        <v>250</v>
      </c>
      <c r="W66" s="74"/>
      <c r="X66" s="58"/>
      <c r="Y66" s="58"/>
      <c r="Z66" s="59"/>
      <c r="AD66" s="58"/>
      <c r="AE66" s="58"/>
      <c r="AF66" s="58"/>
    </row>
    <row r="67" spans="1:32" s="17" customFormat="1" ht="30" customHeight="1">
      <c r="A67" s="18" t="s">
        <v>70</v>
      </c>
      <c r="B67" s="51">
        <f>'Standard values'!B67</f>
        <v>0</v>
      </c>
      <c r="C67" s="51">
        <f>'Standard values'!C67</f>
        <v>0</v>
      </c>
      <c r="D67" s="51">
        <f>'Standard values'!D67</f>
        <v>0</v>
      </c>
      <c r="E67" s="51">
        <f>'Standard values'!E67</f>
        <v>0</v>
      </c>
      <c r="F67" s="51">
        <f>'Standard values'!F67</f>
        <v>0</v>
      </c>
      <c r="G67" s="51">
        <f>'Standard values'!G67</f>
        <v>0</v>
      </c>
      <c r="H67" s="52">
        <f t="shared" si="11"/>
        <v>0</v>
      </c>
      <c r="I67" s="52">
        <f t="shared" si="11"/>
        <v>0</v>
      </c>
      <c r="J67" s="53">
        <f t="shared" si="3"/>
        <v>0</v>
      </c>
      <c r="K67" s="54">
        <f t="shared" si="4"/>
        <v>0</v>
      </c>
      <c r="L67" s="55">
        <f t="shared" si="5"/>
        <v>0</v>
      </c>
      <c r="M67" s="55">
        <f t="shared" si="6"/>
        <v>0</v>
      </c>
      <c r="N67" s="55">
        <f t="shared" si="7"/>
        <v>0</v>
      </c>
      <c r="O67" s="53">
        <f t="shared" si="8"/>
        <v>0</v>
      </c>
      <c r="P67" s="54">
        <f t="shared" si="9"/>
        <v>0</v>
      </c>
      <c r="Q67" s="54">
        <f t="shared" si="1"/>
        <v>0</v>
      </c>
      <c r="R67" s="17">
        <v>10</v>
      </c>
      <c r="S67" s="113">
        <f>2.8/250</f>
        <v>0.0112</v>
      </c>
      <c r="T67" s="57">
        <f t="shared" si="2"/>
        <v>1.1199999999999999</v>
      </c>
      <c r="U67" s="15">
        <v>0.1</v>
      </c>
      <c r="V67" s="58" t="s">
        <v>252</v>
      </c>
      <c r="W67" s="74"/>
      <c r="X67" s="58"/>
      <c r="Y67" s="58"/>
      <c r="Z67" s="59"/>
      <c r="AD67" s="58"/>
      <c r="AE67" s="58"/>
      <c r="AF67" s="58"/>
    </row>
    <row r="68" spans="1:32" s="17" customFormat="1" ht="30" customHeight="1">
      <c r="A68" s="18" t="s">
        <v>71</v>
      </c>
      <c r="B68" s="51">
        <f>'Standard values'!B68</f>
        <v>0</v>
      </c>
      <c r="C68" s="51">
        <f>'Standard values'!C68</f>
        <v>0</v>
      </c>
      <c r="D68" s="51">
        <f>'Standard values'!D68</f>
        <v>0</v>
      </c>
      <c r="E68" s="51">
        <f>'Standard values'!E68</f>
        <v>0</v>
      </c>
      <c r="F68" s="51">
        <f>'Standard values'!F68</f>
        <v>0</v>
      </c>
      <c r="G68" s="51">
        <f>'Standard values'!G68</f>
        <v>0</v>
      </c>
      <c r="H68" s="52">
        <f t="shared" si="11"/>
        <v>0</v>
      </c>
      <c r="I68" s="52">
        <f t="shared" si="11"/>
        <v>0</v>
      </c>
      <c r="J68" s="53">
        <f t="shared" si="3"/>
        <v>0</v>
      </c>
      <c r="K68" s="54">
        <f t="shared" si="4"/>
        <v>0</v>
      </c>
      <c r="L68" s="55">
        <f t="shared" si="5"/>
        <v>0</v>
      </c>
      <c r="M68" s="55">
        <f t="shared" si="6"/>
        <v>0</v>
      </c>
      <c r="N68" s="55">
        <f t="shared" si="7"/>
        <v>0</v>
      </c>
      <c r="O68" s="53">
        <f t="shared" si="8"/>
        <v>0</v>
      </c>
      <c r="P68" s="54">
        <f t="shared" si="9"/>
        <v>0</v>
      </c>
      <c r="Q68" s="54">
        <f t="shared" si="1"/>
        <v>0</v>
      </c>
      <c r="R68" s="17">
        <v>5</v>
      </c>
      <c r="S68" s="113">
        <f>2.8/250</f>
        <v>0.0112</v>
      </c>
      <c r="T68" s="57">
        <f t="shared" si="2"/>
        <v>1.1199999999999999</v>
      </c>
      <c r="U68" s="15">
        <v>0.1</v>
      </c>
      <c r="V68" s="58" t="s">
        <v>252</v>
      </c>
      <c r="W68" s="74"/>
      <c r="X68" s="58"/>
      <c r="Y68" s="58"/>
      <c r="Z68" s="59"/>
      <c r="AD68" s="58"/>
      <c r="AE68" s="58"/>
      <c r="AF68" s="58"/>
    </row>
    <row r="69" spans="1:32" s="17" customFormat="1" ht="30" customHeight="1">
      <c r="A69" s="18" t="s">
        <v>72</v>
      </c>
      <c r="B69" s="51">
        <f>'Standard values'!B69</f>
        <v>0</v>
      </c>
      <c r="C69" s="51">
        <f>'Standard values'!C69</f>
        <v>0</v>
      </c>
      <c r="D69" s="51">
        <f>'Standard values'!D69</f>
        <v>0</v>
      </c>
      <c r="E69" s="51">
        <f>'Standard values'!E69</f>
        <v>0</v>
      </c>
      <c r="F69" s="51">
        <f>'Standard values'!F69</f>
        <v>0</v>
      </c>
      <c r="G69" s="51">
        <f>'Standard values'!G69</f>
        <v>0</v>
      </c>
      <c r="H69" s="52">
        <f t="shared" si="11"/>
        <v>0</v>
      </c>
      <c r="I69" s="52">
        <f t="shared" si="11"/>
        <v>0</v>
      </c>
      <c r="J69" s="53">
        <f t="shared" si="3"/>
        <v>0</v>
      </c>
      <c r="K69" s="54">
        <f t="shared" si="4"/>
        <v>0</v>
      </c>
      <c r="L69" s="55">
        <f t="shared" si="5"/>
        <v>0</v>
      </c>
      <c r="M69" s="55">
        <f t="shared" si="6"/>
        <v>0</v>
      </c>
      <c r="N69" s="55">
        <f t="shared" si="7"/>
        <v>0</v>
      </c>
      <c r="O69" s="53">
        <f t="shared" si="8"/>
        <v>0</v>
      </c>
      <c r="P69" s="54">
        <f t="shared" si="9"/>
        <v>0</v>
      </c>
      <c r="Q69" s="54">
        <f t="shared" si="1"/>
        <v>0</v>
      </c>
      <c r="R69" s="61">
        <v>5</v>
      </c>
      <c r="S69" s="113">
        <f>4.15/350</f>
        <v>0.011857142857142858</v>
      </c>
      <c r="T69" s="57">
        <f t="shared" si="2"/>
        <v>1.1857142857142857</v>
      </c>
      <c r="U69" s="17">
        <v>0</v>
      </c>
      <c r="V69" s="58" t="s">
        <v>409</v>
      </c>
      <c r="W69" s="74"/>
      <c r="X69" s="58"/>
      <c r="Y69" s="58"/>
      <c r="Z69" s="59"/>
      <c r="AD69" s="58"/>
      <c r="AE69" s="58"/>
      <c r="AF69" s="58"/>
    </row>
    <row r="70" spans="1:32" s="17" customFormat="1" ht="30" customHeight="1">
      <c r="A70" s="18" t="s">
        <v>73</v>
      </c>
      <c r="B70" s="51">
        <f>'Standard values'!B70</f>
        <v>0</v>
      </c>
      <c r="C70" s="51">
        <f>'Standard values'!C70</f>
        <v>0</v>
      </c>
      <c r="D70" s="51">
        <f>'Standard values'!D70</f>
        <v>0</v>
      </c>
      <c r="E70" s="51">
        <f>'Standard values'!E70</f>
        <v>0</v>
      </c>
      <c r="F70" s="51">
        <f>'Standard values'!F70</f>
        <v>0</v>
      </c>
      <c r="G70" s="51">
        <f>'Standard values'!G70</f>
        <v>0</v>
      </c>
      <c r="H70" s="52">
        <f t="shared" si="11"/>
        <v>0</v>
      </c>
      <c r="I70" s="52">
        <f t="shared" si="11"/>
        <v>0</v>
      </c>
      <c r="J70" s="53">
        <f t="shared" si="3"/>
        <v>0</v>
      </c>
      <c r="K70" s="54">
        <f t="shared" si="4"/>
        <v>0</v>
      </c>
      <c r="L70" s="55">
        <f t="shared" si="5"/>
        <v>0</v>
      </c>
      <c r="M70" s="55">
        <f t="shared" si="6"/>
        <v>0</v>
      </c>
      <c r="N70" s="55">
        <f t="shared" si="7"/>
        <v>0</v>
      </c>
      <c r="O70" s="53">
        <f t="shared" si="8"/>
        <v>0</v>
      </c>
      <c r="P70" s="54">
        <f t="shared" si="9"/>
        <v>0</v>
      </c>
      <c r="Q70" s="54">
        <f t="shared" si="1"/>
        <v>0</v>
      </c>
      <c r="R70" s="17">
        <v>5</v>
      </c>
      <c r="S70" s="113">
        <f>8.89/1000</f>
        <v>0.00889</v>
      </c>
      <c r="T70" s="57">
        <f t="shared" si="2"/>
        <v>0.889</v>
      </c>
      <c r="U70" s="15">
        <v>0</v>
      </c>
      <c r="V70" s="58" t="s">
        <v>256</v>
      </c>
      <c r="W70" s="74"/>
      <c r="X70" s="58"/>
      <c r="Y70" s="58"/>
      <c r="Z70" s="59"/>
      <c r="AD70" s="58"/>
      <c r="AE70" s="58"/>
      <c r="AF70" s="58"/>
    </row>
    <row r="71" spans="1:32" s="17" customFormat="1" ht="30" customHeight="1">
      <c r="A71" s="60" t="s">
        <v>74</v>
      </c>
      <c r="B71" s="51">
        <f>'Standard values'!B71</f>
        <v>0</v>
      </c>
      <c r="C71" s="51">
        <f>'Standard values'!C71</f>
        <v>0</v>
      </c>
      <c r="D71" s="51">
        <f>'Standard values'!D71</f>
        <v>0</v>
      </c>
      <c r="E71" s="51">
        <f>'Standard values'!E71</f>
        <v>0</v>
      </c>
      <c r="F71" s="51">
        <f>'Standard values'!F71</f>
        <v>0</v>
      </c>
      <c r="G71" s="51">
        <f>'Standard values'!G71</f>
        <v>0</v>
      </c>
      <c r="H71" s="52">
        <f t="shared" si="11"/>
        <v>0</v>
      </c>
      <c r="I71" s="52">
        <f t="shared" si="11"/>
        <v>0</v>
      </c>
      <c r="J71" s="53">
        <f t="shared" si="3"/>
        <v>0</v>
      </c>
      <c r="K71" s="54">
        <f t="shared" si="4"/>
        <v>0</v>
      </c>
      <c r="L71" s="55">
        <f t="shared" si="5"/>
        <v>0</v>
      </c>
      <c r="M71" s="55">
        <f t="shared" si="6"/>
        <v>0</v>
      </c>
      <c r="N71" s="55">
        <f t="shared" si="7"/>
        <v>0</v>
      </c>
      <c r="O71" s="53">
        <f t="shared" si="8"/>
        <v>0</v>
      </c>
      <c r="P71" s="54">
        <f t="shared" si="9"/>
        <v>0</v>
      </c>
      <c r="Q71" s="54">
        <f t="shared" si="1"/>
        <v>0</v>
      </c>
      <c r="R71" s="61">
        <v>50</v>
      </c>
      <c r="S71" s="113">
        <f>7.4/1000</f>
        <v>0.0074</v>
      </c>
      <c r="T71" s="57">
        <f t="shared" si="2"/>
        <v>0.74</v>
      </c>
      <c r="U71" s="17">
        <v>0.5</v>
      </c>
      <c r="V71" s="58" t="s">
        <v>259</v>
      </c>
      <c r="W71" s="74"/>
      <c r="X71" s="58"/>
      <c r="Y71" s="58"/>
      <c r="Z71" s="59"/>
      <c r="AD71" s="58"/>
      <c r="AE71" s="58"/>
      <c r="AF71" s="58"/>
    </row>
    <row r="72" spans="1:32" s="17" customFormat="1" ht="30" customHeight="1">
      <c r="A72" s="16" t="s">
        <v>75</v>
      </c>
      <c r="B72" s="51">
        <f>'Standard values'!B72</f>
        <v>0</v>
      </c>
      <c r="C72" s="51">
        <f>'Standard values'!C72</f>
        <v>0</v>
      </c>
      <c r="D72" s="51">
        <f>'Standard values'!D72</f>
        <v>0</v>
      </c>
      <c r="E72" s="51">
        <f>'Standard values'!E72</f>
        <v>0</v>
      </c>
      <c r="F72" s="51">
        <f>'Standard values'!F72</f>
        <v>0</v>
      </c>
      <c r="G72" s="51">
        <f>'Standard values'!G72</f>
        <v>0</v>
      </c>
      <c r="H72" s="52">
        <f aca="true" t="shared" si="12" ref="H72:I87">P72</f>
        <v>0</v>
      </c>
      <c r="I72" s="52">
        <f t="shared" si="12"/>
        <v>0</v>
      </c>
      <c r="J72" s="53">
        <f t="shared" si="3"/>
        <v>0</v>
      </c>
      <c r="K72" s="54">
        <f t="shared" si="4"/>
        <v>0</v>
      </c>
      <c r="L72" s="55">
        <f t="shared" si="5"/>
        <v>0</v>
      </c>
      <c r="M72" s="55">
        <f t="shared" si="6"/>
        <v>0</v>
      </c>
      <c r="N72" s="55">
        <f t="shared" si="7"/>
        <v>0</v>
      </c>
      <c r="O72" s="53">
        <f t="shared" si="8"/>
        <v>0</v>
      </c>
      <c r="P72" s="54">
        <f t="shared" si="9"/>
        <v>0</v>
      </c>
      <c r="Q72" s="54">
        <f t="shared" si="1"/>
        <v>0</v>
      </c>
      <c r="R72" s="61">
        <v>1</v>
      </c>
      <c r="S72" s="113">
        <f>21.67/1000</f>
        <v>0.021670000000000002</v>
      </c>
      <c r="T72" s="57">
        <f t="shared" si="2"/>
        <v>2.1670000000000003</v>
      </c>
      <c r="U72" s="15">
        <v>0</v>
      </c>
      <c r="V72" s="58" t="s">
        <v>261</v>
      </c>
      <c r="W72" s="74"/>
      <c r="X72" s="58"/>
      <c r="Y72" s="58"/>
      <c r="Z72" s="59"/>
      <c r="AD72" s="58"/>
      <c r="AE72" s="58"/>
      <c r="AF72" s="58"/>
    </row>
    <row r="73" spans="1:32" s="17" customFormat="1" ht="30" customHeight="1">
      <c r="A73" s="18" t="s">
        <v>76</v>
      </c>
      <c r="B73" s="51">
        <f>'Standard values'!B73</f>
        <v>0</v>
      </c>
      <c r="C73" s="51">
        <f>'Standard values'!C73</f>
        <v>0</v>
      </c>
      <c r="D73" s="51">
        <f>'Standard values'!D73</f>
        <v>0</v>
      </c>
      <c r="E73" s="51">
        <f>'Standard values'!E73</f>
        <v>0</v>
      </c>
      <c r="F73" s="51">
        <f>'Standard values'!F73</f>
        <v>0</v>
      </c>
      <c r="G73" s="51">
        <f>'Standard values'!G73</f>
        <v>0</v>
      </c>
      <c r="H73" s="52">
        <f t="shared" si="12"/>
        <v>0</v>
      </c>
      <c r="I73" s="52">
        <f t="shared" si="12"/>
        <v>0</v>
      </c>
      <c r="J73" s="53">
        <f t="shared" si="3"/>
        <v>0</v>
      </c>
      <c r="K73" s="54">
        <f t="shared" si="4"/>
        <v>0</v>
      </c>
      <c r="L73" s="55">
        <f t="shared" si="5"/>
        <v>0</v>
      </c>
      <c r="M73" s="55">
        <f t="shared" si="6"/>
        <v>0</v>
      </c>
      <c r="N73" s="55">
        <f t="shared" si="7"/>
        <v>0</v>
      </c>
      <c r="O73" s="53">
        <f t="shared" si="8"/>
        <v>0</v>
      </c>
      <c r="P73" s="54">
        <f t="shared" si="9"/>
        <v>0</v>
      </c>
      <c r="Q73" s="54">
        <f t="shared" si="1"/>
        <v>0</v>
      </c>
      <c r="R73" s="15">
        <v>1</v>
      </c>
      <c r="S73" s="113">
        <f>22.4/1000</f>
        <v>0.0224</v>
      </c>
      <c r="T73" s="57">
        <f t="shared" si="2"/>
        <v>2.2399999999999998</v>
      </c>
      <c r="U73" s="17">
        <v>0.6</v>
      </c>
      <c r="V73" s="74" t="s">
        <v>197</v>
      </c>
      <c r="W73" s="74"/>
      <c r="X73" s="58"/>
      <c r="Y73" s="58"/>
      <c r="Z73" s="59"/>
      <c r="AD73" s="58"/>
      <c r="AE73" s="58"/>
      <c r="AF73" s="58"/>
    </row>
    <row r="74" spans="1:32" s="17" customFormat="1" ht="30" customHeight="1">
      <c r="A74" s="18" t="s">
        <v>77</v>
      </c>
      <c r="B74" s="51">
        <f>'Standard values'!B74</f>
        <v>0</v>
      </c>
      <c r="C74" s="51">
        <f>'Standard values'!C74</f>
        <v>0</v>
      </c>
      <c r="D74" s="51">
        <f>'Standard values'!D74</f>
        <v>0</v>
      </c>
      <c r="E74" s="51">
        <f>'Standard values'!E74</f>
        <v>0</v>
      </c>
      <c r="F74" s="51">
        <f>'Standard values'!F74</f>
        <v>0</v>
      </c>
      <c r="G74" s="51">
        <f>'Standard values'!G74</f>
        <v>0</v>
      </c>
      <c r="H74" s="52">
        <f t="shared" si="12"/>
        <v>0</v>
      </c>
      <c r="I74" s="52">
        <f t="shared" si="12"/>
        <v>0</v>
      </c>
      <c r="J74" s="53">
        <f t="shared" si="3"/>
        <v>0</v>
      </c>
      <c r="K74" s="54">
        <f t="shared" si="4"/>
        <v>0</v>
      </c>
      <c r="L74" s="55">
        <f t="shared" si="5"/>
        <v>0</v>
      </c>
      <c r="M74" s="55">
        <f t="shared" si="6"/>
        <v>0</v>
      </c>
      <c r="N74" s="55">
        <f t="shared" si="7"/>
        <v>0</v>
      </c>
      <c r="O74" s="53">
        <f t="shared" si="8"/>
        <v>0</v>
      </c>
      <c r="P74" s="54">
        <f t="shared" si="9"/>
        <v>0</v>
      </c>
      <c r="Q74" s="54">
        <f t="shared" si="1"/>
        <v>0</v>
      </c>
      <c r="R74" s="17">
        <v>50</v>
      </c>
      <c r="S74" s="113">
        <f>2/500</f>
        <v>0.004</v>
      </c>
      <c r="T74" s="57">
        <f t="shared" si="2"/>
        <v>0.4</v>
      </c>
      <c r="U74" s="17">
        <v>0</v>
      </c>
      <c r="V74" s="58" t="s">
        <v>262</v>
      </c>
      <c r="W74" s="74"/>
      <c r="X74" s="58"/>
      <c r="Y74" s="58"/>
      <c r="Z74" s="59"/>
      <c r="AD74" s="58"/>
      <c r="AE74" s="58"/>
      <c r="AF74" s="58"/>
    </row>
    <row r="75" spans="1:32" s="17" customFormat="1" ht="30" customHeight="1">
      <c r="A75" s="18" t="s">
        <v>78</v>
      </c>
      <c r="B75" s="51">
        <f>'Standard values'!B75</f>
        <v>0</v>
      </c>
      <c r="C75" s="51">
        <f>'Standard values'!C75</f>
        <v>0</v>
      </c>
      <c r="D75" s="51">
        <f>'Standard values'!D75</f>
        <v>0</v>
      </c>
      <c r="E75" s="51">
        <f>'Standard values'!E75</f>
        <v>0</v>
      </c>
      <c r="F75" s="51">
        <f>'Standard values'!F75</f>
        <v>0</v>
      </c>
      <c r="G75" s="51">
        <f>'Standard values'!G75</f>
        <v>0</v>
      </c>
      <c r="H75" s="52">
        <f t="shared" si="12"/>
        <v>0</v>
      </c>
      <c r="I75" s="52">
        <f t="shared" si="12"/>
        <v>0</v>
      </c>
      <c r="J75" s="53">
        <f t="shared" si="3"/>
        <v>0</v>
      </c>
      <c r="K75" s="54">
        <f t="shared" si="4"/>
        <v>0</v>
      </c>
      <c r="L75" s="55">
        <f t="shared" si="5"/>
        <v>0</v>
      </c>
      <c r="M75" s="55">
        <f t="shared" si="6"/>
        <v>0</v>
      </c>
      <c r="N75" s="55">
        <f t="shared" si="7"/>
        <v>0</v>
      </c>
      <c r="O75" s="53">
        <f t="shared" si="8"/>
        <v>0</v>
      </c>
      <c r="P75" s="54">
        <f t="shared" si="9"/>
        <v>0</v>
      </c>
      <c r="Q75" s="54">
        <f t="shared" si="1"/>
        <v>0</v>
      </c>
      <c r="R75" s="58">
        <v>4</v>
      </c>
      <c r="S75" s="113">
        <f>2.28/100</f>
        <v>0.022799999999999997</v>
      </c>
      <c r="T75" s="57">
        <f t="shared" si="2"/>
        <v>2.28</v>
      </c>
      <c r="U75" s="17">
        <v>0.4</v>
      </c>
      <c r="V75" s="58" t="s">
        <v>410</v>
      </c>
      <c r="W75" s="74"/>
      <c r="X75" s="58"/>
      <c r="Y75" s="58"/>
      <c r="Z75" s="59"/>
      <c r="AD75" s="58"/>
      <c r="AE75" s="58"/>
      <c r="AF75" s="58"/>
    </row>
    <row r="76" spans="1:32" s="17" customFormat="1" ht="30" customHeight="1">
      <c r="A76" s="18" t="s">
        <v>79</v>
      </c>
      <c r="B76" s="51">
        <f>'Standard values'!B76</f>
        <v>0</v>
      </c>
      <c r="C76" s="51">
        <f>'Standard values'!C76</f>
        <v>0</v>
      </c>
      <c r="D76" s="51">
        <f>'Standard values'!D76</f>
        <v>0</v>
      </c>
      <c r="E76" s="51">
        <f>'Standard values'!E76</f>
        <v>0</v>
      </c>
      <c r="F76" s="51">
        <f>'Standard values'!F76</f>
        <v>0</v>
      </c>
      <c r="G76" s="51">
        <f>'Standard values'!G76</f>
        <v>0</v>
      </c>
      <c r="H76" s="52">
        <f t="shared" si="12"/>
        <v>0</v>
      </c>
      <c r="I76" s="52">
        <f t="shared" si="12"/>
        <v>0</v>
      </c>
      <c r="J76" s="53">
        <f t="shared" si="3"/>
        <v>0</v>
      </c>
      <c r="K76" s="54">
        <f t="shared" si="4"/>
        <v>0</v>
      </c>
      <c r="L76" s="55">
        <f t="shared" si="5"/>
        <v>0</v>
      </c>
      <c r="M76" s="55">
        <f t="shared" si="6"/>
        <v>0</v>
      </c>
      <c r="N76" s="55">
        <f t="shared" si="7"/>
        <v>0</v>
      </c>
      <c r="O76" s="53">
        <f t="shared" si="8"/>
        <v>0</v>
      </c>
      <c r="P76" s="54">
        <f t="shared" si="9"/>
        <v>0</v>
      </c>
      <c r="Q76" s="54">
        <f t="shared" si="1"/>
        <v>0</v>
      </c>
      <c r="R76" s="61">
        <v>250</v>
      </c>
      <c r="S76" s="113">
        <f>10.56/1000</f>
        <v>0.01056</v>
      </c>
      <c r="T76" s="57">
        <f t="shared" si="2"/>
        <v>1.056</v>
      </c>
      <c r="U76" s="17">
        <v>0</v>
      </c>
      <c r="V76" s="58" t="s">
        <v>265</v>
      </c>
      <c r="W76" s="74"/>
      <c r="X76" s="58"/>
      <c r="Y76" s="58"/>
      <c r="Z76" s="59"/>
      <c r="AD76" s="58"/>
      <c r="AE76" s="58"/>
      <c r="AF76" s="58"/>
    </row>
    <row r="77" spans="1:32" s="17" customFormat="1" ht="30" customHeight="1">
      <c r="A77" s="60" t="s">
        <v>80</v>
      </c>
      <c r="B77" s="51">
        <f>'Standard values'!B77</f>
        <v>0</v>
      </c>
      <c r="C77" s="51">
        <f>'Standard values'!C77</f>
        <v>0</v>
      </c>
      <c r="D77" s="51">
        <f>'Standard values'!D77</f>
        <v>0</v>
      </c>
      <c r="E77" s="51">
        <f>'Standard values'!E77</f>
        <v>0</v>
      </c>
      <c r="F77" s="51">
        <f>'Standard values'!F77</f>
        <v>0</v>
      </c>
      <c r="G77" s="51">
        <f>'Standard values'!G77</f>
        <v>0</v>
      </c>
      <c r="H77" s="52">
        <f t="shared" si="12"/>
        <v>0</v>
      </c>
      <c r="I77" s="52">
        <f t="shared" si="12"/>
        <v>0</v>
      </c>
      <c r="J77" s="53">
        <f t="shared" si="3"/>
        <v>0</v>
      </c>
      <c r="K77" s="54">
        <f t="shared" si="4"/>
        <v>0</v>
      </c>
      <c r="L77" s="55">
        <f t="shared" si="5"/>
        <v>0</v>
      </c>
      <c r="M77" s="55">
        <f t="shared" si="6"/>
        <v>0</v>
      </c>
      <c r="N77" s="55">
        <f t="shared" si="7"/>
        <v>0</v>
      </c>
      <c r="O77" s="53">
        <f t="shared" si="8"/>
        <v>0</v>
      </c>
      <c r="P77" s="54">
        <f t="shared" si="9"/>
        <v>0</v>
      </c>
      <c r="Q77" s="54">
        <f t="shared" si="1"/>
        <v>0</v>
      </c>
      <c r="R77" s="17">
        <v>75</v>
      </c>
      <c r="S77" s="113">
        <f>0.738/75</f>
        <v>0.00984</v>
      </c>
      <c r="T77" s="57">
        <f t="shared" si="2"/>
        <v>0.984</v>
      </c>
      <c r="U77" s="17">
        <v>1</v>
      </c>
      <c r="V77" s="58" t="s">
        <v>389</v>
      </c>
      <c r="W77" s="74"/>
      <c r="X77" s="58"/>
      <c r="Y77" s="58"/>
      <c r="Z77" s="59"/>
      <c r="AD77" s="58"/>
      <c r="AE77" s="58"/>
      <c r="AF77" s="58"/>
    </row>
    <row r="78" spans="1:32" s="17" customFormat="1" ht="30" customHeight="1">
      <c r="A78" s="18" t="s">
        <v>82</v>
      </c>
      <c r="B78" s="51">
        <f>'Standard values'!B78</f>
        <v>0</v>
      </c>
      <c r="C78" s="51">
        <f>'Standard values'!C78</f>
        <v>0</v>
      </c>
      <c r="D78" s="51">
        <f>'Standard values'!D78</f>
        <v>0</v>
      </c>
      <c r="E78" s="51">
        <f>'Standard values'!E78</f>
        <v>0</v>
      </c>
      <c r="F78" s="51">
        <f>'Standard values'!F78</f>
        <v>0</v>
      </c>
      <c r="G78" s="51">
        <f>'Standard values'!G78</f>
        <v>0</v>
      </c>
      <c r="H78" s="52">
        <f t="shared" si="12"/>
        <v>0</v>
      </c>
      <c r="I78" s="52">
        <f t="shared" si="12"/>
        <v>0</v>
      </c>
      <c r="J78" s="53">
        <f t="shared" si="3"/>
        <v>0</v>
      </c>
      <c r="K78" s="54">
        <f t="shared" si="4"/>
        <v>0</v>
      </c>
      <c r="L78" s="55">
        <f t="shared" si="5"/>
        <v>0</v>
      </c>
      <c r="M78" s="55">
        <f t="shared" si="6"/>
        <v>0</v>
      </c>
      <c r="N78" s="55">
        <f t="shared" si="7"/>
        <v>0</v>
      </c>
      <c r="O78" s="53">
        <f t="shared" si="8"/>
        <v>0</v>
      </c>
      <c r="P78" s="54">
        <f t="shared" si="9"/>
        <v>0</v>
      </c>
      <c r="Q78" s="54">
        <f t="shared" si="1"/>
        <v>0</v>
      </c>
      <c r="R78" s="15">
        <v>150</v>
      </c>
      <c r="S78" s="113">
        <f>2.15/150</f>
        <v>0.014333333333333333</v>
      </c>
      <c r="T78" s="57">
        <f t="shared" si="2"/>
        <v>1.4333333333333333</v>
      </c>
      <c r="U78" s="17">
        <v>0</v>
      </c>
      <c r="V78" s="58" t="s">
        <v>268</v>
      </c>
      <c r="W78" s="74"/>
      <c r="X78" s="58"/>
      <c r="Y78" s="58"/>
      <c r="Z78" s="59"/>
      <c r="AD78" s="58"/>
      <c r="AE78" s="58"/>
      <c r="AF78" s="58"/>
    </row>
    <row r="79" spans="1:32" s="17" customFormat="1" ht="30" customHeight="1">
      <c r="A79" s="16" t="s">
        <v>83</v>
      </c>
      <c r="B79" s="51">
        <f>'Standard values'!B79</f>
        <v>0</v>
      </c>
      <c r="C79" s="51">
        <f>'Standard values'!C79</f>
        <v>0</v>
      </c>
      <c r="D79" s="51">
        <f>'Standard values'!D79</f>
        <v>0</v>
      </c>
      <c r="E79" s="51">
        <f>'Standard values'!E79</f>
        <v>0</v>
      </c>
      <c r="F79" s="51">
        <f>'Standard values'!F79</f>
        <v>0</v>
      </c>
      <c r="G79" s="51">
        <f>'Standard values'!G79</f>
        <v>0</v>
      </c>
      <c r="H79" s="52">
        <f t="shared" si="12"/>
        <v>0</v>
      </c>
      <c r="I79" s="52">
        <f t="shared" si="12"/>
        <v>0</v>
      </c>
      <c r="J79" s="53">
        <f t="shared" si="3"/>
        <v>0</v>
      </c>
      <c r="K79" s="54">
        <f t="shared" si="4"/>
        <v>0</v>
      </c>
      <c r="L79" s="55">
        <f t="shared" si="5"/>
        <v>0</v>
      </c>
      <c r="M79" s="55">
        <f t="shared" si="6"/>
        <v>0</v>
      </c>
      <c r="N79" s="55">
        <f t="shared" si="7"/>
        <v>0</v>
      </c>
      <c r="O79" s="53">
        <f t="shared" si="8"/>
        <v>0</v>
      </c>
      <c r="P79" s="54">
        <f t="shared" si="9"/>
        <v>0</v>
      </c>
      <c r="Q79" s="54">
        <f t="shared" si="1"/>
        <v>0</v>
      </c>
      <c r="R79" s="17">
        <v>150</v>
      </c>
      <c r="S79" s="113">
        <f>5.72/1000</f>
        <v>0.005719999999999999</v>
      </c>
      <c r="T79" s="57">
        <f t="shared" si="2"/>
        <v>0.572</v>
      </c>
      <c r="U79" s="17">
        <v>0</v>
      </c>
      <c r="V79" s="58" t="s">
        <v>270</v>
      </c>
      <c r="W79" s="74"/>
      <c r="X79" s="58"/>
      <c r="Y79" s="58"/>
      <c r="Z79" s="59"/>
      <c r="AD79" s="58"/>
      <c r="AE79" s="58"/>
      <c r="AF79" s="58"/>
    </row>
    <row r="80" spans="1:32" s="17" customFormat="1" ht="30" customHeight="1">
      <c r="A80" s="18" t="s">
        <v>84</v>
      </c>
      <c r="B80" s="51">
        <f>'Standard values'!B80</f>
        <v>0</v>
      </c>
      <c r="C80" s="51">
        <f>'Standard values'!C80</f>
        <v>0</v>
      </c>
      <c r="D80" s="51">
        <f>'Standard values'!D80</f>
        <v>0</v>
      </c>
      <c r="E80" s="51">
        <f>'Standard values'!E80</f>
        <v>0</v>
      </c>
      <c r="F80" s="51">
        <f>'Standard values'!F80</f>
        <v>0</v>
      </c>
      <c r="G80" s="51">
        <f>'Standard values'!G80</f>
        <v>0</v>
      </c>
      <c r="H80" s="52">
        <f t="shared" si="12"/>
        <v>0</v>
      </c>
      <c r="I80" s="52">
        <f t="shared" si="12"/>
        <v>0</v>
      </c>
      <c r="J80" s="53">
        <f t="shared" si="3"/>
        <v>0</v>
      </c>
      <c r="K80" s="54">
        <f t="shared" si="4"/>
        <v>0</v>
      </c>
      <c r="L80" s="55">
        <f t="shared" si="5"/>
        <v>0</v>
      </c>
      <c r="M80" s="55">
        <f t="shared" si="6"/>
        <v>0</v>
      </c>
      <c r="N80" s="55">
        <f t="shared" si="7"/>
        <v>0</v>
      </c>
      <c r="O80" s="53">
        <f t="shared" si="8"/>
        <v>0</v>
      </c>
      <c r="P80" s="54">
        <f t="shared" si="9"/>
        <v>0</v>
      </c>
      <c r="Q80" s="54">
        <f t="shared" si="1"/>
        <v>0</v>
      </c>
      <c r="R80" s="17">
        <v>80</v>
      </c>
      <c r="S80" s="113">
        <f>0.7/80</f>
        <v>0.008749999999999999</v>
      </c>
      <c r="T80" s="57">
        <f t="shared" si="2"/>
        <v>0.8749999999999999</v>
      </c>
      <c r="U80" s="17">
        <v>0.2</v>
      </c>
      <c r="V80" s="58" t="s">
        <v>272</v>
      </c>
      <c r="W80" s="74"/>
      <c r="X80" s="58"/>
      <c r="Y80" s="58"/>
      <c r="Z80" s="59"/>
      <c r="AD80" s="58"/>
      <c r="AE80" s="58"/>
      <c r="AF80" s="58"/>
    </row>
    <row r="81" spans="1:32" s="17" customFormat="1" ht="30" customHeight="1">
      <c r="A81" s="16" t="s">
        <v>157</v>
      </c>
      <c r="B81" s="51">
        <f>'Standard values'!B81</f>
        <v>0</v>
      </c>
      <c r="C81" s="51">
        <f>'Standard values'!C81</f>
        <v>0</v>
      </c>
      <c r="D81" s="51">
        <f>'Standard values'!D81</f>
        <v>0</v>
      </c>
      <c r="E81" s="51">
        <f>'Standard values'!E81</f>
        <v>0</v>
      </c>
      <c r="F81" s="51">
        <f>'Standard values'!F81</f>
        <v>0</v>
      </c>
      <c r="G81" s="51">
        <f>'Standard values'!G81</f>
        <v>0</v>
      </c>
      <c r="H81" s="52">
        <f t="shared" si="12"/>
        <v>0</v>
      </c>
      <c r="I81" s="52">
        <f t="shared" si="12"/>
        <v>0</v>
      </c>
      <c r="J81" s="53">
        <f t="shared" si="3"/>
        <v>0</v>
      </c>
      <c r="K81" s="54">
        <f t="shared" si="4"/>
        <v>0</v>
      </c>
      <c r="L81" s="55">
        <f t="shared" si="5"/>
        <v>0</v>
      </c>
      <c r="M81" s="55">
        <f t="shared" si="6"/>
        <v>0</v>
      </c>
      <c r="N81" s="55">
        <f t="shared" si="7"/>
        <v>0</v>
      </c>
      <c r="O81" s="53">
        <f t="shared" si="8"/>
        <v>0</v>
      </c>
      <c r="P81" s="54">
        <f t="shared" si="9"/>
        <v>0</v>
      </c>
      <c r="Q81" s="54">
        <f t="shared" si="1"/>
        <v>0</v>
      </c>
      <c r="R81" s="17">
        <v>1</v>
      </c>
      <c r="S81" s="113">
        <f>2.15/100</f>
        <v>0.0215</v>
      </c>
      <c r="T81" s="57">
        <f t="shared" si="2"/>
        <v>2.15</v>
      </c>
      <c r="U81" s="17">
        <v>0</v>
      </c>
      <c r="V81" s="58" t="s">
        <v>273</v>
      </c>
      <c r="W81" s="74"/>
      <c r="X81" s="58"/>
      <c r="Y81" s="58"/>
      <c r="Z81" s="59"/>
      <c r="AD81" s="58"/>
      <c r="AE81" s="58"/>
      <c r="AF81" s="58"/>
    </row>
    <row r="82" spans="1:32" s="17" customFormat="1" ht="30" customHeight="1">
      <c r="A82" s="18" t="s">
        <v>85</v>
      </c>
      <c r="B82" s="51">
        <f>'Standard values'!B82</f>
        <v>0</v>
      </c>
      <c r="C82" s="51">
        <f>'Standard values'!C82</f>
        <v>0</v>
      </c>
      <c r="D82" s="51">
        <f>'Standard values'!D82</f>
        <v>0</v>
      </c>
      <c r="E82" s="51">
        <f>'Standard values'!E82</f>
        <v>0</v>
      </c>
      <c r="F82" s="51">
        <f>'Standard values'!F82</f>
        <v>0</v>
      </c>
      <c r="G82" s="51">
        <f>'Standard values'!G82</f>
        <v>0</v>
      </c>
      <c r="H82" s="52">
        <f t="shared" si="12"/>
        <v>0</v>
      </c>
      <c r="I82" s="52">
        <f t="shared" si="12"/>
        <v>0</v>
      </c>
      <c r="J82" s="53">
        <f t="shared" si="3"/>
        <v>0</v>
      </c>
      <c r="K82" s="54">
        <f t="shared" si="4"/>
        <v>0</v>
      </c>
      <c r="L82" s="55">
        <f t="shared" si="5"/>
        <v>0</v>
      </c>
      <c r="M82" s="55">
        <f t="shared" si="6"/>
        <v>0</v>
      </c>
      <c r="N82" s="55">
        <f t="shared" si="7"/>
        <v>0</v>
      </c>
      <c r="O82" s="53">
        <f t="shared" si="8"/>
        <v>0</v>
      </c>
      <c r="P82" s="54">
        <f t="shared" si="9"/>
        <v>0</v>
      </c>
      <c r="Q82" s="54">
        <f t="shared" si="1"/>
        <v>0</v>
      </c>
      <c r="R82" s="15">
        <v>70</v>
      </c>
      <c r="S82" s="113">
        <f>(3.45/4)/70</f>
        <v>0.012321428571428572</v>
      </c>
      <c r="T82" s="57">
        <f t="shared" si="2"/>
        <v>1.2321428571428572</v>
      </c>
      <c r="U82" s="15">
        <v>0.2</v>
      </c>
      <c r="V82" s="58" t="s">
        <v>413</v>
      </c>
      <c r="W82" s="74"/>
      <c r="X82" s="58"/>
      <c r="Y82" s="58"/>
      <c r="Z82" s="59"/>
      <c r="AD82" s="58"/>
      <c r="AE82" s="58"/>
      <c r="AF82" s="58"/>
    </row>
    <row r="83" spans="1:32" s="17" customFormat="1" ht="30" customHeight="1">
      <c r="A83" s="16" t="s">
        <v>86</v>
      </c>
      <c r="B83" s="51">
        <f>'Standard values'!B83</f>
        <v>0</v>
      </c>
      <c r="C83" s="51">
        <f>'Standard values'!C83</f>
        <v>0</v>
      </c>
      <c r="D83" s="51">
        <f>'Standard values'!D83</f>
        <v>0</v>
      </c>
      <c r="E83" s="51">
        <f>'Standard values'!E83</f>
        <v>0</v>
      </c>
      <c r="F83" s="51">
        <f>'Standard values'!F83</f>
        <v>0</v>
      </c>
      <c r="G83" s="51">
        <f>'Standard values'!G83</f>
        <v>0</v>
      </c>
      <c r="H83" s="52">
        <f t="shared" si="12"/>
        <v>0</v>
      </c>
      <c r="I83" s="52">
        <f t="shared" si="12"/>
        <v>0</v>
      </c>
      <c r="J83" s="53">
        <f t="shared" si="3"/>
        <v>0</v>
      </c>
      <c r="K83" s="54">
        <f t="shared" si="4"/>
        <v>0</v>
      </c>
      <c r="L83" s="55">
        <f t="shared" si="5"/>
        <v>0</v>
      </c>
      <c r="M83" s="55">
        <f t="shared" si="6"/>
        <v>0</v>
      </c>
      <c r="N83" s="55">
        <f t="shared" si="7"/>
        <v>0</v>
      </c>
      <c r="O83" s="53">
        <f t="shared" si="8"/>
        <v>0</v>
      </c>
      <c r="P83" s="54">
        <f t="shared" si="9"/>
        <v>0</v>
      </c>
      <c r="Q83" s="54">
        <f t="shared" si="1"/>
        <v>0</v>
      </c>
      <c r="R83" s="61">
        <v>4</v>
      </c>
      <c r="S83" s="113">
        <f>3.36/100</f>
        <v>0.0336</v>
      </c>
      <c r="T83" s="57">
        <f t="shared" si="2"/>
        <v>3.36</v>
      </c>
      <c r="U83" s="15">
        <v>0.1</v>
      </c>
      <c r="V83" s="74" t="s">
        <v>395</v>
      </c>
      <c r="W83" s="74"/>
      <c r="X83" s="58"/>
      <c r="Y83" s="58"/>
      <c r="Z83" s="59"/>
      <c r="AD83" s="58"/>
      <c r="AE83" s="58"/>
      <c r="AF83" s="58"/>
    </row>
    <row r="84" spans="1:32" s="17" customFormat="1" ht="30" customHeight="1">
      <c r="A84" s="60" t="s">
        <v>87</v>
      </c>
      <c r="B84" s="51">
        <f>'Standard values'!B84</f>
        <v>0</v>
      </c>
      <c r="C84" s="51">
        <f>'Standard values'!C84</f>
        <v>0</v>
      </c>
      <c r="D84" s="51">
        <f>'Standard values'!D84</f>
        <v>0</v>
      </c>
      <c r="E84" s="51">
        <f>'Standard values'!E84</f>
        <v>0</v>
      </c>
      <c r="F84" s="51">
        <f>'Standard values'!F84</f>
        <v>0</v>
      </c>
      <c r="G84" s="51">
        <f>'Standard values'!G84</f>
        <v>0</v>
      </c>
      <c r="H84" s="52">
        <f t="shared" si="12"/>
        <v>0</v>
      </c>
      <c r="I84" s="52">
        <f t="shared" si="12"/>
        <v>0</v>
      </c>
      <c r="J84" s="53">
        <f t="shared" si="3"/>
        <v>0</v>
      </c>
      <c r="K84" s="54">
        <f t="shared" si="4"/>
        <v>0</v>
      </c>
      <c r="L84" s="55">
        <f t="shared" si="5"/>
        <v>0</v>
      </c>
      <c r="M84" s="55">
        <f t="shared" si="6"/>
        <v>0</v>
      </c>
      <c r="N84" s="55">
        <f t="shared" si="7"/>
        <v>0</v>
      </c>
      <c r="O84" s="53">
        <f t="shared" si="8"/>
        <v>0</v>
      </c>
      <c r="P84" s="54">
        <f t="shared" si="9"/>
        <v>0</v>
      </c>
      <c r="Q84" s="54">
        <f t="shared" si="1"/>
        <v>0</v>
      </c>
      <c r="R84" s="61">
        <v>30</v>
      </c>
      <c r="S84" s="113">
        <f>(3.55/3)/250</f>
        <v>0.004733333333333333</v>
      </c>
      <c r="T84" s="57">
        <f t="shared" si="2"/>
        <v>0.47333333333333333</v>
      </c>
      <c r="U84" s="17">
        <v>0.5</v>
      </c>
      <c r="V84" s="70" t="s">
        <v>307</v>
      </c>
      <c r="W84" s="72"/>
      <c r="X84" s="58"/>
      <c r="Y84" s="58"/>
      <c r="Z84" s="59"/>
      <c r="AD84" s="58"/>
      <c r="AE84" s="58"/>
      <c r="AF84" s="58"/>
    </row>
    <row r="85" spans="1:32" s="17" customFormat="1" ht="30" customHeight="1">
      <c r="A85" s="60" t="s">
        <v>88</v>
      </c>
      <c r="B85" s="51">
        <f>'Standard values'!B85</f>
        <v>0</v>
      </c>
      <c r="C85" s="51">
        <f>'Standard values'!C85</f>
        <v>0</v>
      </c>
      <c r="D85" s="51">
        <f>'Standard values'!D85</f>
        <v>0</v>
      </c>
      <c r="E85" s="51">
        <f>'Standard values'!E85</f>
        <v>0</v>
      </c>
      <c r="F85" s="51">
        <f>'Standard values'!F85</f>
        <v>0</v>
      </c>
      <c r="G85" s="51">
        <f>'Standard values'!G85</f>
        <v>0</v>
      </c>
      <c r="H85" s="52">
        <f t="shared" si="12"/>
        <v>0</v>
      </c>
      <c r="I85" s="52">
        <f t="shared" si="12"/>
        <v>0</v>
      </c>
      <c r="J85" s="53">
        <f t="shared" si="3"/>
        <v>0</v>
      </c>
      <c r="K85" s="54">
        <f t="shared" si="4"/>
        <v>0</v>
      </c>
      <c r="L85" s="55">
        <f t="shared" si="5"/>
        <v>0</v>
      </c>
      <c r="M85" s="55">
        <f t="shared" si="6"/>
        <v>0</v>
      </c>
      <c r="N85" s="55">
        <f t="shared" si="7"/>
        <v>0</v>
      </c>
      <c r="O85" s="53">
        <f t="shared" si="8"/>
        <v>0</v>
      </c>
      <c r="P85" s="54">
        <f t="shared" si="9"/>
        <v>0</v>
      </c>
      <c r="Q85" s="54">
        <f t="shared" si="1"/>
        <v>0</v>
      </c>
      <c r="R85" s="17">
        <v>1</v>
      </c>
      <c r="S85" s="113">
        <f>3.36/100</f>
        <v>0.0336</v>
      </c>
      <c r="T85" s="57">
        <f t="shared" si="2"/>
        <v>3.36</v>
      </c>
      <c r="U85" s="17">
        <v>0</v>
      </c>
      <c r="V85" s="74" t="s">
        <v>395</v>
      </c>
      <c r="W85" s="74"/>
      <c r="X85" s="58"/>
      <c r="Y85" s="58"/>
      <c r="Z85" s="59"/>
      <c r="AD85" s="58"/>
      <c r="AE85" s="58"/>
      <c r="AF85" s="58"/>
    </row>
    <row r="86" spans="1:32" s="17" customFormat="1" ht="30" customHeight="1">
      <c r="A86" s="18" t="s">
        <v>89</v>
      </c>
      <c r="B86" s="51">
        <f>'Standard values'!B86</f>
        <v>0</v>
      </c>
      <c r="C86" s="51">
        <f>'Standard values'!C86</f>
        <v>0</v>
      </c>
      <c r="D86" s="51">
        <f>'Standard values'!D86</f>
        <v>0</v>
      </c>
      <c r="E86" s="51">
        <f>'Standard values'!E86</f>
        <v>0</v>
      </c>
      <c r="F86" s="51">
        <f>'Standard values'!F86</f>
        <v>0</v>
      </c>
      <c r="G86" s="51">
        <f>'Standard values'!G86</f>
        <v>0</v>
      </c>
      <c r="H86" s="52">
        <f t="shared" si="12"/>
        <v>0</v>
      </c>
      <c r="I86" s="52">
        <f t="shared" si="12"/>
        <v>0</v>
      </c>
      <c r="J86" s="53">
        <f t="shared" si="3"/>
        <v>0</v>
      </c>
      <c r="K86" s="54">
        <f t="shared" si="4"/>
        <v>0</v>
      </c>
      <c r="L86" s="55">
        <f t="shared" si="5"/>
        <v>0</v>
      </c>
      <c r="M86" s="55">
        <f t="shared" si="6"/>
        <v>0</v>
      </c>
      <c r="N86" s="55">
        <f t="shared" si="7"/>
        <v>0</v>
      </c>
      <c r="O86" s="53">
        <f t="shared" si="8"/>
        <v>0</v>
      </c>
      <c r="P86" s="54">
        <f t="shared" si="9"/>
        <v>0</v>
      </c>
      <c r="Q86" s="54">
        <f t="shared" si="1"/>
        <v>0</v>
      </c>
      <c r="R86" s="61">
        <v>10</v>
      </c>
      <c r="S86" s="113">
        <f>5.2/1000</f>
        <v>0.0052</v>
      </c>
      <c r="T86" s="17">
        <v>0.0033333333333333335</v>
      </c>
      <c r="U86" s="17">
        <v>0</v>
      </c>
      <c r="V86" s="58" t="s">
        <v>278</v>
      </c>
      <c r="W86" s="74"/>
      <c r="X86" s="58"/>
      <c r="Y86" s="58"/>
      <c r="Z86" s="59"/>
      <c r="AD86" s="58"/>
      <c r="AE86" s="58"/>
      <c r="AF86" s="58"/>
    </row>
    <row r="87" spans="1:32" s="17" customFormat="1" ht="30" customHeight="1">
      <c r="A87" s="60" t="s">
        <v>90</v>
      </c>
      <c r="B87" s="51">
        <f>'Standard values'!B87</f>
        <v>0</v>
      </c>
      <c r="C87" s="51">
        <f>'Standard values'!C87</f>
        <v>0</v>
      </c>
      <c r="D87" s="51">
        <f>'Standard values'!D87</f>
        <v>0</v>
      </c>
      <c r="E87" s="51">
        <f>'Standard values'!E87</f>
        <v>0</v>
      </c>
      <c r="F87" s="51">
        <f>'Standard values'!F87</f>
        <v>0</v>
      </c>
      <c r="G87" s="51">
        <f>'Standard values'!G87</f>
        <v>0</v>
      </c>
      <c r="H87" s="52">
        <f t="shared" si="12"/>
        <v>0</v>
      </c>
      <c r="I87" s="52">
        <f t="shared" si="12"/>
        <v>0</v>
      </c>
      <c r="J87" s="53">
        <f t="shared" si="3"/>
        <v>0</v>
      </c>
      <c r="K87" s="54">
        <f t="shared" si="4"/>
        <v>0</v>
      </c>
      <c r="L87" s="55">
        <f t="shared" si="5"/>
        <v>0</v>
      </c>
      <c r="M87" s="55">
        <f t="shared" si="6"/>
        <v>0</v>
      </c>
      <c r="N87" s="55">
        <f t="shared" si="7"/>
        <v>0</v>
      </c>
      <c r="O87" s="53">
        <f t="shared" si="8"/>
        <v>0</v>
      </c>
      <c r="P87" s="54">
        <f t="shared" si="9"/>
        <v>0</v>
      </c>
      <c r="Q87" s="54">
        <f t="shared" si="1"/>
        <v>0</v>
      </c>
      <c r="R87" s="17">
        <v>150</v>
      </c>
      <c r="S87" s="113">
        <f>0.8/150</f>
        <v>0.005333333333333334</v>
      </c>
      <c r="T87" s="57">
        <f aca="true" t="shared" si="13" ref="T87:T123">S87*100</f>
        <v>0.5333333333333334</v>
      </c>
      <c r="U87" s="17">
        <v>0.6</v>
      </c>
      <c r="V87" s="58" t="s">
        <v>279</v>
      </c>
      <c r="W87" s="74"/>
      <c r="X87" s="58"/>
      <c r="Y87" s="58"/>
      <c r="Z87" s="59"/>
      <c r="AD87" s="58"/>
      <c r="AE87" s="58"/>
      <c r="AF87" s="58"/>
    </row>
    <row r="88" spans="1:32" s="17" customFormat="1" ht="30" customHeight="1">
      <c r="A88" s="16" t="s">
        <v>91</v>
      </c>
      <c r="B88" s="51">
        <f>'Standard values'!B88</f>
        <v>0</v>
      </c>
      <c r="C88" s="51">
        <f>'Standard values'!C88</f>
        <v>0</v>
      </c>
      <c r="D88" s="51">
        <f>'Standard values'!D88</f>
        <v>0</v>
      </c>
      <c r="E88" s="51">
        <f>'Standard values'!E88</f>
        <v>0</v>
      </c>
      <c r="F88" s="51">
        <f>'Standard values'!F88</f>
        <v>0</v>
      </c>
      <c r="G88" s="51">
        <f>'Standard values'!G88</f>
        <v>0</v>
      </c>
      <c r="H88" s="52">
        <f aca="true" t="shared" si="14" ref="H88:I103">P88</f>
        <v>0</v>
      </c>
      <c r="I88" s="52">
        <f t="shared" si="14"/>
        <v>0</v>
      </c>
      <c r="J88" s="53">
        <f t="shared" si="3"/>
        <v>0</v>
      </c>
      <c r="K88" s="54">
        <f t="shared" si="4"/>
        <v>0</v>
      </c>
      <c r="L88" s="55">
        <f t="shared" si="5"/>
        <v>0</v>
      </c>
      <c r="M88" s="55">
        <f t="shared" si="6"/>
        <v>0</v>
      </c>
      <c r="N88" s="55">
        <f t="shared" si="7"/>
        <v>0</v>
      </c>
      <c r="O88" s="53">
        <f t="shared" si="8"/>
        <v>0</v>
      </c>
      <c r="P88" s="54">
        <f t="shared" si="9"/>
        <v>0</v>
      </c>
      <c r="Q88" s="54">
        <f aca="true" t="shared" si="15" ref="Q88:Q123">P88*U88</f>
        <v>0</v>
      </c>
      <c r="R88" s="61">
        <v>100</v>
      </c>
      <c r="S88" s="113">
        <f>2.14/1000</f>
        <v>0.00214</v>
      </c>
      <c r="T88" s="57">
        <f t="shared" si="13"/>
        <v>0.214</v>
      </c>
      <c r="U88" s="17">
        <v>0</v>
      </c>
      <c r="V88" s="58" t="s">
        <v>282</v>
      </c>
      <c r="W88" s="74"/>
      <c r="X88" s="58"/>
      <c r="Y88" s="58"/>
      <c r="Z88" s="59"/>
      <c r="AD88" s="58"/>
      <c r="AE88" s="58"/>
      <c r="AF88" s="58"/>
    </row>
    <row r="89" spans="1:32" s="17" customFormat="1" ht="30" customHeight="1">
      <c r="A89" s="16" t="s">
        <v>92</v>
      </c>
      <c r="B89" s="51">
        <f>'Standard values'!B89</f>
        <v>0</v>
      </c>
      <c r="C89" s="51">
        <f>'Standard values'!C89</f>
        <v>0</v>
      </c>
      <c r="D89" s="51">
        <f>'Standard values'!D89</f>
        <v>0</v>
      </c>
      <c r="E89" s="51">
        <f>'Standard values'!E89</f>
        <v>0</v>
      </c>
      <c r="F89" s="51">
        <f>'Standard values'!F89</f>
        <v>0</v>
      </c>
      <c r="G89" s="51">
        <f>'Standard values'!G89</f>
        <v>0</v>
      </c>
      <c r="H89" s="52">
        <f t="shared" si="14"/>
        <v>0</v>
      </c>
      <c r="I89" s="52">
        <f t="shared" si="14"/>
        <v>0</v>
      </c>
      <c r="J89" s="53">
        <f aca="true" t="shared" si="16" ref="J89:J123">D89*R89</f>
        <v>0</v>
      </c>
      <c r="K89" s="54">
        <f aca="true" t="shared" si="17" ref="K89:K123">C89*28.3495</f>
        <v>0</v>
      </c>
      <c r="L89" s="55">
        <f aca="true" t="shared" si="18" ref="L89:L123">E89*100</f>
        <v>0</v>
      </c>
      <c r="M89" s="55">
        <f aca="true" t="shared" si="19" ref="M89:M123">F89*300</f>
        <v>0</v>
      </c>
      <c r="N89" s="55">
        <f aca="true" t="shared" si="20" ref="N89:N123">G89*120</f>
        <v>0</v>
      </c>
      <c r="O89" s="53">
        <f aca="true" t="shared" si="21" ref="O89:O123">B89+SUM(J89:N89)</f>
        <v>0</v>
      </c>
      <c r="P89" s="54">
        <f aca="true" t="shared" si="22" ref="P89:P123">S89*O89</f>
        <v>0</v>
      </c>
      <c r="Q89" s="54">
        <f t="shared" si="15"/>
        <v>0</v>
      </c>
      <c r="R89" s="61">
        <v>40</v>
      </c>
      <c r="S89" s="113">
        <f>4.15/500</f>
        <v>0.0083</v>
      </c>
      <c r="T89" s="57">
        <f t="shared" si="13"/>
        <v>0.83</v>
      </c>
      <c r="U89" s="17">
        <v>0</v>
      </c>
      <c r="V89" s="58" t="s">
        <v>283</v>
      </c>
      <c r="W89" s="74"/>
      <c r="X89" s="58"/>
      <c r="Y89" s="58"/>
      <c r="Z89" s="59"/>
      <c r="AD89" s="58"/>
      <c r="AE89" s="58"/>
      <c r="AF89" s="58"/>
    </row>
    <row r="90" spans="1:32" s="17" customFormat="1" ht="30" customHeight="1">
      <c r="A90" s="16" t="s">
        <v>94</v>
      </c>
      <c r="B90" s="51">
        <f>'Standard values'!B90</f>
        <v>0</v>
      </c>
      <c r="C90" s="51">
        <f>'Standard values'!C90</f>
        <v>0</v>
      </c>
      <c r="D90" s="51">
        <f>'Standard values'!D90</f>
        <v>0</v>
      </c>
      <c r="E90" s="51">
        <f>'Standard values'!E90</f>
        <v>0</v>
      </c>
      <c r="F90" s="51">
        <f>'Standard values'!F90</f>
        <v>0</v>
      </c>
      <c r="G90" s="51">
        <f>'Standard values'!G90</f>
        <v>0</v>
      </c>
      <c r="H90" s="52">
        <f t="shared" si="14"/>
        <v>0</v>
      </c>
      <c r="I90" s="52">
        <f t="shared" si="14"/>
        <v>0</v>
      </c>
      <c r="J90" s="53">
        <f t="shared" si="16"/>
        <v>0</v>
      </c>
      <c r="K90" s="54">
        <f t="shared" si="17"/>
        <v>0</v>
      </c>
      <c r="L90" s="55">
        <f t="shared" si="18"/>
        <v>0</v>
      </c>
      <c r="M90" s="55">
        <f t="shared" si="19"/>
        <v>0</v>
      </c>
      <c r="N90" s="55">
        <f t="shared" si="20"/>
        <v>0</v>
      </c>
      <c r="O90" s="53">
        <f t="shared" si="21"/>
        <v>0</v>
      </c>
      <c r="P90" s="54">
        <f t="shared" si="22"/>
        <v>0</v>
      </c>
      <c r="Q90" s="54">
        <f t="shared" si="15"/>
        <v>0</v>
      </c>
      <c r="R90" s="61">
        <v>14</v>
      </c>
      <c r="S90" s="113">
        <f>(1.25/9)/14</f>
        <v>0.009920634920634922</v>
      </c>
      <c r="T90" s="57">
        <f t="shared" si="13"/>
        <v>0.9920634920634922</v>
      </c>
      <c r="U90" s="17">
        <v>0</v>
      </c>
      <c r="V90" s="58" t="s">
        <v>286</v>
      </c>
      <c r="W90" s="74"/>
      <c r="X90" s="58"/>
      <c r="Y90" s="58"/>
      <c r="Z90" s="59"/>
      <c r="AD90" s="58"/>
      <c r="AE90" s="58"/>
      <c r="AF90" s="58"/>
    </row>
    <row r="91" spans="1:32" s="17" customFormat="1" ht="30" customHeight="1">
      <c r="A91" s="60" t="s">
        <v>95</v>
      </c>
      <c r="B91" s="51">
        <f>'Standard values'!B91</f>
        <v>0</v>
      </c>
      <c r="C91" s="51">
        <f>'Standard values'!C91</f>
        <v>0</v>
      </c>
      <c r="D91" s="51">
        <f>'Standard values'!D91</f>
        <v>0</v>
      </c>
      <c r="E91" s="51">
        <f>'Standard values'!E91</f>
        <v>0</v>
      </c>
      <c r="F91" s="51">
        <f>'Standard values'!F91</f>
        <v>0</v>
      </c>
      <c r="G91" s="51">
        <f>'Standard values'!G91</f>
        <v>0</v>
      </c>
      <c r="H91" s="52">
        <f t="shared" si="14"/>
        <v>0</v>
      </c>
      <c r="I91" s="52">
        <f t="shared" si="14"/>
        <v>0</v>
      </c>
      <c r="J91" s="53">
        <f t="shared" si="16"/>
        <v>0</v>
      </c>
      <c r="K91" s="54">
        <f t="shared" si="17"/>
        <v>0</v>
      </c>
      <c r="L91" s="55">
        <f t="shared" si="18"/>
        <v>0</v>
      </c>
      <c r="M91" s="55">
        <f t="shared" si="19"/>
        <v>0</v>
      </c>
      <c r="N91" s="55">
        <f t="shared" si="20"/>
        <v>0</v>
      </c>
      <c r="O91" s="53">
        <f t="shared" si="21"/>
        <v>0</v>
      </c>
      <c r="P91" s="54">
        <f t="shared" si="22"/>
        <v>0</v>
      </c>
      <c r="Q91" s="54">
        <f t="shared" si="15"/>
        <v>0</v>
      </c>
      <c r="R91" s="15">
        <v>50</v>
      </c>
      <c r="S91" s="113">
        <f>0.625/50</f>
        <v>0.0125</v>
      </c>
      <c r="T91" s="57">
        <f t="shared" si="13"/>
        <v>1.25</v>
      </c>
      <c r="U91" s="17">
        <v>0.1</v>
      </c>
      <c r="V91" s="58" t="s">
        <v>288</v>
      </c>
      <c r="W91" s="74"/>
      <c r="X91" s="58"/>
      <c r="Y91" s="58"/>
      <c r="Z91" s="59"/>
      <c r="AD91" s="58"/>
      <c r="AE91" s="58"/>
      <c r="AF91" s="58"/>
    </row>
    <row r="92" spans="1:32" s="17" customFormat="1" ht="30" customHeight="1">
      <c r="A92" s="16" t="s">
        <v>96</v>
      </c>
      <c r="B92" s="51">
        <f>'Standard values'!B92</f>
        <v>0</v>
      </c>
      <c r="C92" s="51">
        <f>'Standard values'!C92</f>
        <v>0</v>
      </c>
      <c r="D92" s="51">
        <f>'Standard values'!D92</f>
        <v>0</v>
      </c>
      <c r="E92" s="51">
        <f>'Standard values'!E92</f>
        <v>0</v>
      </c>
      <c r="F92" s="51">
        <f>'Standard values'!F92</f>
        <v>0</v>
      </c>
      <c r="G92" s="51">
        <f>'Standard values'!G92</f>
        <v>0</v>
      </c>
      <c r="H92" s="52">
        <f t="shared" si="14"/>
        <v>0</v>
      </c>
      <c r="I92" s="52">
        <f t="shared" si="14"/>
        <v>0</v>
      </c>
      <c r="J92" s="53">
        <f t="shared" si="16"/>
        <v>0</v>
      </c>
      <c r="K92" s="54">
        <f t="shared" si="17"/>
        <v>0</v>
      </c>
      <c r="L92" s="55">
        <f t="shared" si="18"/>
        <v>0</v>
      </c>
      <c r="M92" s="55">
        <f t="shared" si="19"/>
        <v>0</v>
      </c>
      <c r="N92" s="55">
        <f t="shared" si="20"/>
        <v>0</v>
      </c>
      <c r="O92" s="53">
        <f t="shared" si="21"/>
        <v>0</v>
      </c>
      <c r="P92" s="54">
        <f t="shared" si="22"/>
        <v>0</v>
      </c>
      <c r="Q92" s="54">
        <f t="shared" si="15"/>
        <v>0</v>
      </c>
      <c r="R92" s="15">
        <v>500</v>
      </c>
      <c r="S92" s="113">
        <f>2.5/350</f>
        <v>0.007142857142857143</v>
      </c>
      <c r="T92" s="57">
        <f t="shared" si="13"/>
        <v>0.7142857142857143</v>
      </c>
      <c r="U92" s="17">
        <v>0</v>
      </c>
      <c r="V92" s="58" t="s">
        <v>289</v>
      </c>
      <c r="W92" s="74"/>
      <c r="X92" s="58"/>
      <c r="Y92" s="58"/>
      <c r="Z92" s="59"/>
      <c r="AD92" s="58"/>
      <c r="AE92" s="58"/>
      <c r="AF92" s="58"/>
    </row>
    <row r="93" spans="1:32" s="17" customFormat="1" ht="30" customHeight="1">
      <c r="A93" s="18" t="s">
        <v>97</v>
      </c>
      <c r="B93" s="51">
        <f>'Standard values'!B93</f>
        <v>0</v>
      </c>
      <c r="C93" s="51">
        <f>'Standard values'!C93</f>
        <v>0</v>
      </c>
      <c r="D93" s="51">
        <f>'Standard values'!D93</f>
        <v>0</v>
      </c>
      <c r="E93" s="51">
        <f>'Standard values'!E93</f>
        <v>0</v>
      </c>
      <c r="F93" s="51">
        <f>'Standard values'!F93</f>
        <v>0</v>
      </c>
      <c r="G93" s="51">
        <f>'Standard values'!G93</f>
        <v>0</v>
      </c>
      <c r="H93" s="52">
        <f t="shared" si="14"/>
        <v>0</v>
      </c>
      <c r="I93" s="52">
        <f t="shared" si="14"/>
        <v>0</v>
      </c>
      <c r="J93" s="53">
        <f t="shared" si="16"/>
        <v>0</v>
      </c>
      <c r="K93" s="54">
        <f t="shared" si="17"/>
        <v>0</v>
      </c>
      <c r="L93" s="55">
        <f t="shared" si="18"/>
        <v>0</v>
      </c>
      <c r="M93" s="55">
        <f t="shared" si="19"/>
        <v>0</v>
      </c>
      <c r="N93" s="55">
        <f t="shared" si="20"/>
        <v>0</v>
      </c>
      <c r="O93" s="53">
        <f t="shared" si="21"/>
        <v>0</v>
      </c>
      <c r="P93" s="54">
        <f t="shared" si="22"/>
        <v>0</v>
      </c>
      <c r="Q93" s="54">
        <f t="shared" si="15"/>
        <v>0</v>
      </c>
      <c r="R93" s="15">
        <v>75</v>
      </c>
      <c r="S93" s="113">
        <f>3.15/350</f>
        <v>0.009</v>
      </c>
      <c r="T93" s="57">
        <f t="shared" si="13"/>
        <v>0.8999999999999999</v>
      </c>
      <c r="U93" s="17">
        <v>0</v>
      </c>
      <c r="V93" s="58" t="s">
        <v>292</v>
      </c>
      <c r="W93" s="74"/>
      <c r="X93" s="58"/>
      <c r="Y93" s="58"/>
      <c r="Z93" s="59"/>
      <c r="AD93" s="58"/>
      <c r="AE93" s="58"/>
      <c r="AF93" s="58"/>
    </row>
    <row r="94" spans="1:32" s="17" customFormat="1" ht="30" customHeight="1">
      <c r="A94" s="16" t="s">
        <v>98</v>
      </c>
      <c r="B94" s="51">
        <f>'Standard values'!B94</f>
        <v>0</v>
      </c>
      <c r="C94" s="51">
        <f>'Standard values'!C94</f>
        <v>0</v>
      </c>
      <c r="D94" s="51">
        <f>'Standard values'!D94</f>
        <v>0</v>
      </c>
      <c r="E94" s="51">
        <f>'Standard values'!E94</f>
        <v>0</v>
      </c>
      <c r="F94" s="51">
        <f>'Standard values'!F94</f>
        <v>0</v>
      </c>
      <c r="G94" s="51">
        <f>'Standard values'!G94</f>
        <v>0</v>
      </c>
      <c r="H94" s="52">
        <f t="shared" si="14"/>
        <v>0</v>
      </c>
      <c r="I94" s="52">
        <f t="shared" si="14"/>
        <v>0</v>
      </c>
      <c r="J94" s="53">
        <f t="shared" si="16"/>
        <v>0</v>
      </c>
      <c r="K94" s="54">
        <f t="shared" si="17"/>
        <v>0</v>
      </c>
      <c r="L94" s="55">
        <f t="shared" si="18"/>
        <v>0</v>
      </c>
      <c r="M94" s="55">
        <f t="shared" si="19"/>
        <v>0</v>
      </c>
      <c r="N94" s="55">
        <f t="shared" si="20"/>
        <v>0</v>
      </c>
      <c r="O94" s="53">
        <f t="shared" si="21"/>
        <v>0</v>
      </c>
      <c r="P94" s="54">
        <f t="shared" si="22"/>
        <v>0</v>
      </c>
      <c r="Q94" s="54">
        <f t="shared" si="15"/>
        <v>0</v>
      </c>
      <c r="R94" s="17">
        <v>220</v>
      </c>
      <c r="S94" s="113">
        <f>3.75/1000</f>
        <v>0.00375</v>
      </c>
      <c r="T94" s="57">
        <f t="shared" si="13"/>
        <v>0.375</v>
      </c>
      <c r="U94" s="17">
        <v>0</v>
      </c>
      <c r="V94" s="58" t="s">
        <v>294</v>
      </c>
      <c r="W94" s="74"/>
      <c r="X94" s="58"/>
      <c r="Y94" s="58"/>
      <c r="Z94" s="59"/>
      <c r="AD94" s="58"/>
      <c r="AE94" s="58"/>
      <c r="AF94" s="58"/>
    </row>
    <row r="95" spans="1:32" s="17" customFormat="1" ht="30" customHeight="1">
      <c r="A95" s="16" t="s">
        <v>99</v>
      </c>
      <c r="B95" s="51">
        <f>'Standard values'!B95</f>
        <v>0</v>
      </c>
      <c r="C95" s="51">
        <f>'Standard values'!C95</f>
        <v>0</v>
      </c>
      <c r="D95" s="51">
        <f>'Standard values'!D95</f>
        <v>0</v>
      </c>
      <c r="E95" s="51">
        <f>'Standard values'!E95</f>
        <v>0</v>
      </c>
      <c r="F95" s="51">
        <f>'Standard values'!F95</f>
        <v>0</v>
      </c>
      <c r="G95" s="51">
        <f>'Standard values'!G95</f>
        <v>0</v>
      </c>
      <c r="H95" s="52">
        <f t="shared" si="14"/>
        <v>0</v>
      </c>
      <c r="I95" s="52">
        <f t="shared" si="14"/>
        <v>0</v>
      </c>
      <c r="J95" s="53">
        <f t="shared" si="16"/>
        <v>0</v>
      </c>
      <c r="K95" s="54">
        <f t="shared" si="17"/>
        <v>0</v>
      </c>
      <c r="L95" s="55">
        <f t="shared" si="18"/>
        <v>0</v>
      </c>
      <c r="M95" s="55">
        <f t="shared" si="19"/>
        <v>0</v>
      </c>
      <c r="N95" s="55">
        <f t="shared" si="20"/>
        <v>0</v>
      </c>
      <c r="O95" s="53">
        <f t="shared" si="21"/>
        <v>0</v>
      </c>
      <c r="P95" s="54">
        <f t="shared" si="22"/>
        <v>0</v>
      </c>
      <c r="Q95" s="54">
        <f t="shared" si="15"/>
        <v>0</v>
      </c>
      <c r="R95" s="15">
        <v>40</v>
      </c>
      <c r="S95" s="113">
        <f>3.55/(40*3)</f>
        <v>0.029583333333333333</v>
      </c>
      <c r="T95" s="57">
        <f t="shared" si="13"/>
        <v>2.9583333333333335</v>
      </c>
      <c r="U95" s="17">
        <v>1</v>
      </c>
      <c r="V95" s="58" t="s">
        <v>296</v>
      </c>
      <c r="W95" s="74"/>
      <c r="X95" s="58"/>
      <c r="Y95" s="58"/>
      <c r="Z95" s="59"/>
      <c r="AD95" s="58"/>
      <c r="AE95" s="58"/>
      <c r="AF95" s="58"/>
    </row>
    <row r="96" spans="1:32" s="17" customFormat="1" ht="30" customHeight="1">
      <c r="A96" s="18" t="s">
        <v>100</v>
      </c>
      <c r="B96" s="51">
        <f>'Standard values'!B96</f>
        <v>0</v>
      </c>
      <c r="C96" s="51">
        <f>'Standard values'!C96</f>
        <v>0</v>
      </c>
      <c r="D96" s="51">
        <f>'Standard values'!D96</f>
        <v>0</v>
      </c>
      <c r="E96" s="51">
        <f>'Standard values'!E96</f>
        <v>0</v>
      </c>
      <c r="F96" s="51">
        <f>'Standard values'!F96</f>
        <v>0</v>
      </c>
      <c r="G96" s="51">
        <f>'Standard values'!G96</f>
        <v>0</v>
      </c>
      <c r="H96" s="52">
        <f t="shared" si="14"/>
        <v>0</v>
      </c>
      <c r="I96" s="52">
        <f t="shared" si="14"/>
        <v>0</v>
      </c>
      <c r="J96" s="53">
        <f t="shared" si="16"/>
        <v>0</v>
      </c>
      <c r="K96" s="54">
        <f t="shared" si="17"/>
        <v>0</v>
      </c>
      <c r="L96" s="55">
        <f t="shared" si="18"/>
        <v>0</v>
      </c>
      <c r="M96" s="55">
        <f t="shared" si="19"/>
        <v>0</v>
      </c>
      <c r="N96" s="55">
        <f t="shared" si="20"/>
        <v>0</v>
      </c>
      <c r="O96" s="53">
        <f t="shared" si="21"/>
        <v>0</v>
      </c>
      <c r="P96" s="54">
        <f t="shared" si="22"/>
        <v>0</v>
      </c>
      <c r="Q96" s="54">
        <f t="shared" si="15"/>
        <v>0</v>
      </c>
      <c r="R96" s="17">
        <v>150</v>
      </c>
      <c r="S96" s="113">
        <f>0.64/100</f>
        <v>0.0064</v>
      </c>
      <c r="T96" s="57">
        <f t="shared" si="13"/>
        <v>0.64</v>
      </c>
      <c r="U96" s="17">
        <v>0.6</v>
      </c>
      <c r="V96" s="58" t="s">
        <v>414</v>
      </c>
      <c r="W96" s="74"/>
      <c r="X96" s="58"/>
      <c r="Y96" s="58"/>
      <c r="Z96" s="59"/>
      <c r="AD96" s="58"/>
      <c r="AE96" s="58"/>
      <c r="AF96" s="58"/>
    </row>
    <row r="97" spans="1:32" s="17" customFormat="1" ht="30" customHeight="1">
      <c r="A97" s="18" t="s">
        <v>101</v>
      </c>
      <c r="B97" s="51">
        <f>'Standard values'!B97</f>
        <v>0</v>
      </c>
      <c r="C97" s="51">
        <f>'Standard values'!C97</f>
        <v>0</v>
      </c>
      <c r="D97" s="51">
        <f>'Standard values'!D97</f>
        <v>0</v>
      </c>
      <c r="E97" s="51">
        <f>'Standard values'!E97</f>
        <v>0</v>
      </c>
      <c r="F97" s="51">
        <f>'Standard values'!F97</f>
        <v>0</v>
      </c>
      <c r="G97" s="51">
        <f>'Standard values'!G97</f>
        <v>0</v>
      </c>
      <c r="H97" s="52">
        <f t="shared" si="14"/>
        <v>0</v>
      </c>
      <c r="I97" s="52">
        <f t="shared" si="14"/>
        <v>0</v>
      </c>
      <c r="J97" s="53">
        <f t="shared" si="16"/>
        <v>0</v>
      </c>
      <c r="K97" s="54">
        <f t="shared" si="17"/>
        <v>0</v>
      </c>
      <c r="L97" s="55">
        <f t="shared" si="18"/>
        <v>0</v>
      </c>
      <c r="M97" s="55">
        <f t="shared" si="19"/>
        <v>0</v>
      </c>
      <c r="N97" s="55">
        <f t="shared" si="20"/>
        <v>0</v>
      </c>
      <c r="O97" s="53">
        <f t="shared" si="21"/>
        <v>0</v>
      </c>
      <c r="P97" s="54">
        <f t="shared" si="22"/>
        <v>0</v>
      </c>
      <c r="Q97" s="54">
        <f t="shared" si="15"/>
        <v>0</v>
      </c>
      <c r="R97" s="15">
        <v>175</v>
      </c>
      <c r="S97" s="113">
        <f>0.638/150</f>
        <v>0.004253333333333334</v>
      </c>
      <c r="T97" s="57">
        <f t="shared" si="13"/>
        <v>0.4253333333333334</v>
      </c>
      <c r="U97" s="17">
        <v>0.5</v>
      </c>
      <c r="V97" s="58" t="s">
        <v>298</v>
      </c>
      <c r="W97" s="74"/>
      <c r="X97" s="58"/>
      <c r="Y97" s="58"/>
      <c r="Z97" s="59"/>
      <c r="AD97" s="58"/>
      <c r="AE97" s="58"/>
      <c r="AF97" s="58"/>
    </row>
    <row r="98" spans="1:32" s="17" customFormat="1" ht="30" customHeight="1">
      <c r="A98" s="16" t="s">
        <v>102</v>
      </c>
      <c r="B98" s="51">
        <f>'Standard values'!B98</f>
        <v>0</v>
      </c>
      <c r="C98" s="51">
        <f>'Standard values'!C98</f>
        <v>0</v>
      </c>
      <c r="D98" s="51">
        <f>'Standard values'!D98</f>
        <v>0</v>
      </c>
      <c r="E98" s="51">
        <f>'Standard values'!E98</f>
        <v>0</v>
      </c>
      <c r="F98" s="51">
        <f>'Standard values'!F98</f>
        <v>0</v>
      </c>
      <c r="G98" s="51">
        <f>'Standard values'!G98</f>
        <v>0</v>
      </c>
      <c r="H98" s="52">
        <f t="shared" si="14"/>
        <v>0</v>
      </c>
      <c r="I98" s="52">
        <f t="shared" si="14"/>
        <v>0</v>
      </c>
      <c r="J98" s="53">
        <f t="shared" si="16"/>
        <v>0</v>
      </c>
      <c r="K98" s="54">
        <f t="shared" si="17"/>
        <v>0</v>
      </c>
      <c r="L98" s="55">
        <f t="shared" si="18"/>
        <v>0</v>
      </c>
      <c r="M98" s="55">
        <f t="shared" si="19"/>
        <v>0</v>
      </c>
      <c r="N98" s="55">
        <f t="shared" si="20"/>
        <v>0</v>
      </c>
      <c r="O98" s="53">
        <f t="shared" si="21"/>
        <v>0</v>
      </c>
      <c r="P98" s="54">
        <f t="shared" si="22"/>
        <v>0</v>
      </c>
      <c r="Q98" s="54">
        <f t="shared" si="15"/>
        <v>0</v>
      </c>
      <c r="R98" s="17">
        <v>1</v>
      </c>
      <c r="S98" s="113">
        <f>4.55/400</f>
        <v>0.011375</v>
      </c>
      <c r="T98" s="57">
        <f t="shared" si="13"/>
        <v>1.1375</v>
      </c>
      <c r="U98" s="15">
        <v>0</v>
      </c>
      <c r="V98" s="58" t="s">
        <v>300</v>
      </c>
      <c r="W98" s="74"/>
      <c r="X98" s="58"/>
      <c r="Y98" s="58"/>
      <c r="Z98" s="59"/>
      <c r="AD98" s="58"/>
      <c r="AE98" s="58"/>
      <c r="AF98" s="58"/>
    </row>
    <row r="99" spans="1:32" s="17" customFormat="1" ht="30" customHeight="1">
      <c r="A99" s="18" t="s">
        <v>103</v>
      </c>
      <c r="B99" s="51">
        <f>'Standard values'!B99</f>
        <v>0</v>
      </c>
      <c r="C99" s="51">
        <f>'Standard values'!C99</f>
        <v>0</v>
      </c>
      <c r="D99" s="51">
        <f>'Standard values'!D99</f>
        <v>0</v>
      </c>
      <c r="E99" s="51">
        <f>'Standard values'!E99</f>
        <v>0</v>
      </c>
      <c r="F99" s="51">
        <f>'Standard values'!F99</f>
        <v>0</v>
      </c>
      <c r="G99" s="51">
        <f>'Standard values'!G99</f>
        <v>0</v>
      </c>
      <c r="H99" s="52">
        <f t="shared" si="14"/>
        <v>0</v>
      </c>
      <c r="I99" s="52">
        <f t="shared" si="14"/>
        <v>0</v>
      </c>
      <c r="J99" s="53">
        <f t="shared" si="16"/>
        <v>0</v>
      </c>
      <c r="K99" s="54">
        <f t="shared" si="17"/>
        <v>0</v>
      </c>
      <c r="L99" s="55">
        <f t="shared" si="18"/>
        <v>0</v>
      </c>
      <c r="M99" s="55">
        <f t="shared" si="19"/>
        <v>0</v>
      </c>
      <c r="N99" s="55">
        <f t="shared" si="20"/>
        <v>0</v>
      </c>
      <c r="O99" s="53">
        <f t="shared" si="21"/>
        <v>0</v>
      </c>
      <c r="P99" s="54">
        <f t="shared" si="22"/>
        <v>0</v>
      </c>
      <c r="Q99" s="54">
        <f t="shared" si="15"/>
        <v>0</v>
      </c>
      <c r="R99" s="17">
        <v>80</v>
      </c>
      <c r="S99" s="113">
        <f>1.13/150</f>
        <v>0.007533333333333333</v>
      </c>
      <c r="T99" s="57">
        <f t="shared" si="13"/>
        <v>0.7533333333333333</v>
      </c>
      <c r="U99" s="17">
        <v>0.1</v>
      </c>
      <c r="V99" s="58" t="s">
        <v>303</v>
      </c>
      <c r="W99" s="74"/>
      <c r="X99" s="58"/>
      <c r="Y99" s="58"/>
      <c r="Z99" s="59"/>
      <c r="AD99" s="58"/>
      <c r="AE99" s="58"/>
      <c r="AF99" s="58"/>
    </row>
    <row r="100" spans="1:32" s="17" customFormat="1" ht="30" customHeight="1">
      <c r="A100" s="18" t="s">
        <v>104</v>
      </c>
      <c r="B100" s="51">
        <f>'Standard values'!B100</f>
        <v>0</v>
      </c>
      <c r="C100" s="51">
        <f>'Standard values'!C100</f>
        <v>0</v>
      </c>
      <c r="D100" s="51">
        <f>'Standard values'!D100</f>
        <v>0</v>
      </c>
      <c r="E100" s="51">
        <f>'Standard values'!E100</f>
        <v>0</v>
      </c>
      <c r="F100" s="51">
        <f>'Standard values'!F100</f>
        <v>0</v>
      </c>
      <c r="G100" s="51">
        <f>'Standard values'!G100</f>
        <v>0</v>
      </c>
      <c r="H100" s="52">
        <f t="shared" si="14"/>
        <v>0</v>
      </c>
      <c r="I100" s="52">
        <f t="shared" si="14"/>
        <v>0</v>
      </c>
      <c r="J100" s="53">
        <f t="shared" si="16"/>
        <v>0</v>
      </c>
      <c r="K100" s="54">
        <f t="shared" si="17"/>
        <v>0</v>
      </c>
      <c r="L100" s="55">
        <f t="shared" si="18"/>
        <v>0</v>
      </c>
      <c r="M100" s="55">
        <f t="shared" si="19"/>
        <v>0</v>
      </c>
      <c r="N100" s="55">
        <f t="shared" si="20"/>
        <v>0</v>
      </c>
      <c r="O100" s="53">
        <f t="shared" si="21"/>
        <v>0</v>
      </c>
      <c r="P100" s="54">
        <f t="shared" si="22"/>
        <v>0</v>
      </c>
      <c r="Q100" s="54">
        <f t="shared" si="15"/>
        <v>0</v>
      </c>
      <c r="R100" s="61">
        <v>40</v>
      </c>
      <c r="S100" s="113">
        <f>7.4/1000</f>
        <v>0.0074</v>
      </c>
      <c r="T100" s="57">
        <f t="shared" si="13"/>
        <v>0.74</v>
      </c>
      <c r="U100" s="17">
        <v>0.5</v>
      </c>
      <c r="V100" s="58" t="s">
        <v>259</v>
      </c>
      <c r="W100" s="74"/>
      <c r="X100" s="58"/>
      <c r="Y100" s="58"/>
      <c r="Z100" s="59"/>
      <c r="AD100" s="58"/>
      <c r="AE100" s="58"/>
      <c r="AF100" s="58"/>
    </row>
    <row r="101" spans="1:32" s="17" customFormat="1" ht="30" customHeight="1">
      <c r="A101" s="18" t="s">
        <v>106</v>
      </c>
      <c r="B101" s="51">
        <f>'Standard values'!B101</f>
        <v>0</v>
      </c>
      <c r="C101" s="51">
        <f>'Standard values'!C101</f>
        <v>0</v>
      </c>
      <c r="D101" s="51">
        <f>'Standard values'!D101</f>
        <v>0</v>
      </c>
      <c r="E101" s="51">
        <f>'Standard values'!E101</f>
        <v>0</v>
      </c>
      <c r="F101" s="51">
        <f>'Standard values'!F101</f>
        <v>0</v>
      </c>
      <c r="G101" s="51">
        <f>'Standard values'!G101</f>
        <v>0</v>
      </c>
      <c r="H101" s="52">
        <f t="shared" si="14"/>
        <v>0</v>
      </c>
      <c r="I101" s="52">
        <f t="shared" si="14"/>
        <v>0</v>
      </c>
      <c r="J101" s="53">
        <f t="shared" si="16"/>
        <v>0</v>
      </c>
      <c r="K101" s="54">
        <f t="shared" si="17"/>
        <v>0</v>
      </c>
      <c r="L101" s="55">
        <f t="shared" si="18"/>
        <v>0</v>
      </c>
      <c r="M101" s="55">
        <f t="shared" si="19"/>
        <v>0</v>
      </c>
      <c r="N101" s="55">
        <f t="shared" si="20"/>
        <v>0</v>
      </c>
      <c r="O101" s="53">
        <f t="shared" si="21"/>
        <v>0</v>
      </c>
      <c r="P101" s="54">
        <f t="shared" si="22"/>
        <v>0</v>
      </c>
      <c r="Q101" s="54">
        <f t="shared" si="15"/>
        <v>0</v>
      </c>
      <c r="R101" s="15">
        <v>100</v>
      </c>
      <c r="S101" s="113">
        <f>1.57/1000</f>
        <v>0.00157</v>
      </c>
      <c r="T101" s="57">
        <f t="shared" si="13"/>
        <v>0.157</v>
      </c>
      <c r="U101" s="17">
        <v>0</v>
      </c>
      <c r="V101" s="58" t="s">
        <v>305</v>
      </c>
      <c r="W101" s="74"/>
      <c r="X101" s="58"/>
      <c r="Y101" s="58"/>
      <c r="Z101" s="59"/>
      <c r="AD101" s="58"/>
      <c r="AE101" s="58"/>
      <c r="AF101" s="58"/>
    </row>
    <row r="102" spans="1:32" s="17" customFormat="1" ht="30" customHeight="1">
      <c r="A102" s="18" t="s">
        <v>107</v>
      </c>
      <c r="B102" s="51">
        <f>'Standard values'!B102</f>
        <v>0</v>
      </c>
      <c r="C102" s="51">
        <f>'Standard values'!C102</f>
        <v>0</v>
      </c>
      <c r="D102" s="51">
        <f>'Standard values'!D102</f>
        <v>0</v>
      </c>
      <c r="E102" s="51">
        <f>'Standard values'!E102</f>
        <v>0</v>
      </c>
      <c r="F102" s="51">
        <f>'Standard values'!F102</f>
        <v>0</v>
      </c>
      <c r="G102" s="51">
        <f>'Standard values'!G102</f>
        <v>0</v>
      </c>
      <c r="H102" s="52">
        <f t="shared" si="14"/>
        <v>0</v>
      </c>
      <c r="I102" s="52">
        <f t="shared" si="14"/>
        <v>0</v>
      </c>
      <c r="J102" s="53">
        <f t="shared" si="16"/>
        <v>0</v>
      </c>
      <c r="K102" s="54">
        <f t="shared" si="17"/>
        <v>0</v>
      </c>
      <c r="L102" s="55">
        <f t="shared" si="18"/>
        <v>0</v>
      </c>
      <c r="M102" s="55">
        <f t="shared" si="19"/>
        <v>0</v>
      </c>
      <c r="N102" s="55">
        <f t="shared" si="20"/>
        <v>0</v>
      </c>
      <c r="O102" s="53">
        <f t="shared" si="21"/>
        <v>0</v>
      </c>
      <c r="P102" s="54">
        <f t="shared" si="22"/>
        <v>0</v>
      </c>
      <c r="Q102" s="54">
        <f t="shared" si="15"/>
        <v>0</v>
      </c>
      <c r="R102" s="15">
        <v>30</v>
      </c>
      <c r="S102" s="113">
        <f>2.8/1000</f>
        <v>0.0028</v>
      </c>
      <c r="T102" s="57">
        <f t="shared" si="13"/>
        <v>0.27999999999999997</v>
      </c>
      <c r="U102" s="17">
        <v>0</v>
      </c>
      <c r="V102" s="58" t="s">
        <v>392</v>
      </c>
      <c r="W102" s="74"/>
      <c r="X102" s="58"/>
      <c r="Y102" s="58"/>
      <c r="Z102" s="59"/>
      <c r="AD102" s="58"/>
      <c r="AE102" s="58"/>
      <c r="AF102" s="58"/>
    </row>
    <row r="103" spans="1:32" s="17" customFormat="1" ht="30" customHeight="1">
      <c r="A103" s="16" t="s">
        <v>108</v>
      </c>
      <c r="B103" s="51">
        <f>'Standard values'!B103</f>
        <v>0</v>
      </c>
      <c r="C103" s="51">
        <f>'Standard values'!C103</f>
        <v>0</v>
      </c>
      <c r="D103" s="51">
        <f>'Standard values'!D103</f>
        <v>0</v>
      </c>
      <c r="E103" s="51">
        <f>'Standard values'!E103</f>
        <v>0</v>
      </c>
      <c r="F103" s="51">
        <f>'Standard values'!F103</f>
        <v>0</v>
      </c>
      <c r="G103" s="51">
        <f>'Standard values'!G103</f>
        <v>0</v>
      </c>
      <c r="H103" s="52">
        <f t="shared" si="14"/>
        <v>0</v>
      </c>
      <c r="I103" s="52">
        <f t="shared" si="14"/>
        <v>0</v>
      </c>
      <c r="J103" s="53">
        <f t="shared" si="16"/>
        <v>0</v>
      </c>
      <c r="K103" s="54">
        <f t="shared" si="17"/>
        <v>0</v>
      </c>
      <c r="L103" s="55">
        <f t="shared" si="18"/>
        <v>0</v>
      </c>
      <c r="M103" s="55">
        <f t="shared" si="19"/>
        <v>0</v>
      </c>
      <c r="N103" s="55">
        <f t="shared" si="20"/>
        <v>0</v>
      </c>
      <c r="O103" s="53">
        <f t="shared" si="21"/>
        <v>0</v>
      </c>
      <c r="P103" s="54">
        <f t="shared" si="22"/>
        <v>0</v>
      </c>
      <c r="Q103" s="54">
        <f t="shared" si="15"/>
        <v>0</v>
      </c>
      <c r="R103" s="17">
        <v>80</v>
      </c>
      <c r="S103" s="113">
        <f>(3.55/3)/250</f>
        <v>0.004733333333333333</v>
      </c>
      <c r="T103" s="57">
        <f t="shared" si="13"/>
        <v>0.47333333333333333</v>
      </c>
      <c r="U103" s="15">
        <v>1</v>
      </c>
      <c r="V103" s="58" t="s">
        <v>307</v>
      </c>
      <c r="W103" s="74"/>
      <c r="X103" s="58"/>
      <c r="Y103" s="58"/>
      <c r="Z103" s="59"/>
      <c r="AD103" s="58"/>
      <c r="AE103" s="58"/>
      <c r="AF103" s="58"/>
    </row>
    <row r="104" spans="1:32" s="17" customFormat="1" ht="30" customHeight="1">
      <c r="A104" s="18" t="s">
        <v>109</v>
      </c>
      <c r="B104" s="51">
        <f>'Standard values'!B104</f>
        <v>0</v>
      </c>
      <c r="C104" s="51">
        <f>'Standard values'!C104</f>
        <v>0</v>
      </c>
      <c r="D104" s="51">
        <f>'Standard values'!D104</f>
        <v>0</v>
      </c>
      <c r="E104" s="51">
        <f>'Standard values'!E104</f>
        <v>0</v>
      </c>
      <c r="F104" s="51">
        <f>'Standard values'!F104</f>
        <v>0</v>
      </c>
      <c r="G104" s="51">
        <f>'Standard values'!G104</f>
        <v>0</v>
      </c>
      <c r="H104" s="52">
        <f aca="true" t="shared" si="23" ref="H104:I119">P104</f>
        <v>0</v>
      </c>
      <c r="I104" s="52">
        <f t="shared" si="23"/>
        <v>0</v>
      </c>
      <c r="J104" s="53">
        <f t="shared" si="16"/>
        <v>0</v>
      </c>
      <c r="K104" s="54">
        <f t="shared" si="17"/>
        <v>0</v>
      </c>
      <c r="L104" s="55">
        <f t="shared" si="18"/>
        <v>0</v>
      </c>
      <c r="M104" s="55">
        <f t="shared" si="19"/>
        <v>0</v>
      </c>
      <c r="N104" s="55">
        <f t="shared" si="20"/>
        <v>0</v>
      </c>
      <c r="O104" s="53">
        <f t="shared" si="21"/>
        <v>0</v>
      </c>
      <c r="P104" s="54">
        <f t="shared" si="22"/>
        <v>0</v>
      </c>
      <c r="Q104" s="54">
        <f t="shared" si="15"/>
        <v>0</v>
      </c>
      <c r="S104" s="113">
        <f>10.67/1000</f>
        <v>0.01067</v>
      </c>
      <c r="T104" s="57">
        <f t="shared" si="13"/>
        <v>1.0670000000000002</v>
      </c>
      <c r="U104" s="17">
        <v>0</v>
      </c>
      <c r="V104" s="58" t="s">
        <v>310</v>
      </c>
      <c r="W104" s="74"/>
      <c r="X104" s="58"/>
      <c r="Y104" s="58"/>
      <c r="Z104" s="59"/>
      <c r="AD104" s="58"/>
      <c r="AE104" s="58"/>
      <c r="AF104" s="58"/>
    </row>
    <row r="105" spans="1:32" s="17" customFormat="1" ht="30" customHeight="1">
      <c r="A105" s="18" t="s">
        <v>110</v>
      </c>
      <c r="B105" s="51">
        <f>'Standard values'!B105</f>
        <v>0</v>
      </c>
      <c r="C105" s="51">
        <f>'Standard values'!C105</f>
        <v>0</v>
      </c>
      <c r="D105" s="51">
        <f>'Standard values'!D105</f>
        <v>0</v>
      </c>
      <c r="E105" s="51">
        <f>'Standard values'!E105</f>
        <v>0</v>
      </c>
      <c r="F105" s="51">
        <f>'Standard values'!F105</f>
        <v>0</v>
      </c>
      <c r="G105" s="51">
        <f>'Standard values'!G105</f>
        <v>0</v>
      </c>
      <c r="H105" s="52">
        <f t="shared" si="23"/>
        <v>0</v>
      </c>
      <c r="I105" s="52">
        <f t="shared" si="23"/>
        <v>0</v>
      </c>
      <c r="J105" s="53">
        <f t="shared" si="16"/>
        <v>0</v>
      </c>
      <c r="K105" s="54">
        <f t="shared" si="17"/>
        <v>0</v>
      </c>
      <c r="L105" s="55">
        <f t="shared" si="18"/>
        <v>0</v>
      </c>
      <c r="M105" s="55">
        <f t="shared" si="19"/>
        <v>0</v>
      </c>
      <c r="N105" s="55">
        <f t="shared" si="20"/>
        <v>0</v>
      </c>
      <c r="O105" s="53">
        <f t="shared" si="21"/>
        <v>0</v>
      </c>
      <c r="P105" s="54">
        <f t="shared" si="22"/>
        <v>0</v>
      </c>
      <c r="Q105" s="54">
        <f t="shared" si="15"/>
        <v>0</v>
      </c>
      <c r="R105" s="15">
        <v>5</v>
      </c>
      <c r="S105" s="113">
        <f>2.45/200</f>
        <v>0.01225</v>
      </c>
      <c r="T105" s="57">
        <f t="shared" si="13"/>
        <v>1.225</v>
      </c>
      <c r="U105" s="17">
        <v>0</v>
      </c>
      <c r="V105" s="58" t="s">
        <v>312</v>
      </c>
      <c r="W105" s="74"/>
      <c r="X105" s="58"/>
      <c r="Y105" s="58"/>
      <c r="Z105" s="59"/>
      <c r="AD105" s="58"/>
      <c r="AE105" s="58"/>
      <c r="AF105" s="58"/>
    </row>
    <row r="106" spans="1:32" s="17" customFormat="1" ht="30" customHeight="1">
      <c r="A106" s="16" t="s">
        <v>111</v>
      </c>
      <c r="B106" s="51">
        <f>'Standard values'!B106</f>
        <v>0</v>
      </c>
      <c r="C106" s="51">
        <f>'Standard values'!C106</f>
        <v>0</v>
      </c>
      <c r="D106" s="51">
        <f>'Standard values'!D106</f>
        <v>0</v>
      </c>
      <c r="E106" s="51">
        <f>'Standard values'!E106</f>
        <v>0</v>
      </c>
      <c r="F106" s="51">
        <f>'Standard values'!F106</f>
        <v>0</v>
      </c>
      <c r="G106" s="51">
        <f>'Standard values'!G106</f>
        <v>0</v>
      </c>
      <c r="H106" s="52">
        <f t="shared" si="23"/>
        <v>0</v>
      </c>
      <c r="I106" s="52">
        <f t="shared" si="23"/>
        <v>0</v>
      </c>
      <c r="J106" s="53">
        <f t="shared" si="16"/>
        <v>0</v>
      </c>
      <c r="K106" s="54">
        <f t="shared" si="17"/>
        <v>0</v>
      </c>
      <c r="L106" s="55">
        <f t="shared" si="18"/>
        <v>0</v>
      </c>
      <c r="M106" s="55">
        <f t="shared" si="19"/>
        <v>0</v>
      </c>
      <c r="N106" s="55">
        <f t="shared" si="20"/>
        <v>0</v>
      </c>
      <c r="O106" s="53">
        <f t="shared" si="21"/>
        <v>0</v>
      </c>
      <c r="P106" s="54">
        <f t="shared" si="22"/>
        <v>0</v>
      </c>
      <c r="Q106" s="54">
        <f t="shared" si="15"/>
        <v>0</v>
      </c>
      <c r="R106" s="15">
        <v>4</v>
      </c>
      <c r="S106" s="113">
        <f>22.4/1000</f>
        <v>0.0224</v>
      </c>
      <c r="T106" s="57">
        <f t="shared" si="13"/>
        <v>2.2399999999999998</v>
      </c>
      <c r="U106" s="15">
        <v>0.6</v>
      </c>
      <c r="V106" s="74" t="s">
        <v>197</v>
      </c>
      <c r="W106" s="74"/>
      <c r="X106" s="58"/>
      <c r="Y106" s="58"/>
      <c r="Z106" s="59"/>
      <c r="AD106" s="58"/>
      <c r="AE106" s="58"/>
      <c r="AF106" s="58"/>
    </row>
    <row r="107" spans="1:32" s="17" customFormat="1" ht="30" customHeight="1">
      <c r="A107" s="16" t="s">
        <v>112</v>
      </c>
      <c r="B107" s="51">
        <f>'Standard values'!B107</f>
        <v>0</v>
      </c>
      <c r="C107" s="51">
        <f>'Standard values'!C107</f>
        <v>0</v>
      </c>
      <c r="D107" s="51">
        <f>'Standard values'!D107</f>
        <v>0</v>
      </c>
      <c r="E107" s="51">
        <f>'Standard values'!E107</f>
        <v>0</v>
      </c>
      <c r="F107" s="51">
        <f>'Standard values'!F107</f>
        <v>0</v>
      </c>
      <c r="G107" s="51">
        <f>'Standard values'!G107</f>
        <v>0</v>
      </c>
      <c r="H107" s="52">
        <f t="shared" si="23"/>
        <v>0</v>
      </c>
      <c r="I107" s="52">
        <f t="shared" si="23"/>
        <v>0</v>
      </c>
      <c r="J107" s="53">
        <f t="shared" si="16"/>
        <v>0</v>
      </c>
      <c r="K107" s="54">
        <f t="shared" si="17"/>
        <v>0</v>
      </c>
      <c r="L107" s="55">
        <f t="shared" si="18"/>
        <v>0</v>
      </c>
      <c r="M107" s="55">
        <f t="shared" si="19"/>
        <v>0</v>
      </c>
      <c r="N107" s="55">
        <f t="shared" si="20"/>
        <v>0</v>
      </c>
      <c r="O107" s="53">
        <f t="shared" si="21"/>
        <v>0</v>
      </c>
      <c r="P107" s="54">
        <f t="shared" si="22"/>
        <v>0</v>
      </c>
      <c r="Q107" s="54">
        <f t="shared" si="15"/>
        <v>0</v>
      </c>
      <c r="R107" s="15">
        <v>1</v>
      </c>
      <c r="S107" s="113">
        <f>3.05/125</f>
        <v>0.024399999999999998</v>
      </c>
      <c r="T107" s="57">
        <f t="shared" si="13"/>
        <v>2.44</v>
      </c>
      <c r="U107" s="15">
        <v>0.25</v>
      </c>
      <c r="V107" s="58" t="s">
        <v>315</v>
      </c>
      <c r="W107" s="74"/>
      <c r="X107" s="58"/>
      <c r="Y107" s="58"/>
      <c r="Z107" s="59"/>
      <c r="AD107" s="58"/>
      <c r="AE107" s="58"/>
      <c r="AF107" s="58"/>
    </row>
    <row r="108" spans="1:32" s="17" customFormat="1" ht="30" customHeight="1">
      <c r="A108" s="16" t="s">
        <v>113</v>
      </c>
      <c r="B108" s="51">
        <f>'Standard values'!B108</f>
        <v>0</v>
      </c>
      <c r="C108" s="51">
        <f>'Standard values'!C108</f>
        <v>0</v>
      </c>
      <c r="D108" s="51">
        <f>'Standard values'!D108</f>
        <v>0</v>
      </c>
      <c r="E108" s="51">
        <f>'Standard values'!E108</f>
        <v>0</v>
      </c>
      <c r="F108" s="51">
        <f>'Standard values'!F108</f>
        <v>0</v>
      </c>
      <c r="G108" s="51">
        <f>'Standard values'!G108</f>
        <v>0</v>
      </c>
      <c r="H108" s="52">
        <f t="shared" si="23"/>
        <v>0</v>
      </c>
      <c r="I108" s="52">
        <f t="shared" si="23"/>
        <v>0</v>
      </c>
      <c r="J108" s="53">
        <f t="shared" si="16"/>
        <v>0</v>
      </c>
      <c r="K108" s="54">
        <f t="shared" si="17"/>
        <v>0</v>
      </c>
      <c r="L108" s="55">
        <f t="shared" si="18"/>
        <v>0</v>
      </c>
      <c r="M108" s="55">
        <f t="shared" si="19"/>
        <v>0</v>
      </c>
      <c r="N108" s="55">
        <f t="shared" si="20"/>
        <v>0</v>
      </c>
      <c r="O108" s="53">
        <f t="shared" si="21"/>
        <v>0</v>
      </c>
      <c r="P108" s="54">
        <f t="shared" si="22"/>
        <v>0</v>
      </c>
      <c r="Q108" s="54">
        <f t="shared" si="15"/>
        <v>0</v>
      </c>
      <c r="R108" s="15">
        <v>60</v>
      </c>
      <c r="S108" s="113">
        <f>3.25/500</f>
        <v>0.0065</v>
      </c>
      <c r="T108" s="57">
        <f t="shared" si="13"/>
        <v>0.65</v>
      </c>
      <c r="U108" s="17">
        <v>0</v>
      </c>
      <c r="V108" s="58" t="s">
        <v>316</v>
      </c>
      <c r="W108" s="74"/>
      <c r="X108" s="58"/>
      <c r="Y108" s="58"/>
      <c r="Z108" s="59"/>
      <c r="AD108" s="58"/>
      <c r="AE108" s="58"/>
      <c r="AF108" s="58"/>
    </row>
    <row r="109" spans="1:32" s="17" customFormat="1" ht="30" customHeight="1">
      <c r="A109" s="16" t="s">
        <v>114</v>
      </c>
      <c r="B109" s="51">
        <f>'Standard values'!B109</f>
        <v>0</v>
      </c>
      <c r="C109" s="51">
        <f>'Standard values'!C109</f>
        <v>0</v>
      </c>
      <c r="D109" s="51">
        <f>'Standard values'!D109</f>
        <v>0</v>
      </c>
      <c r="E109" s="51">
        <f>'Standard values'!E109</f>
        <v>0</v>
      </c>
      <c r="F109" s="51">
        <f>'Standard values'!F109</f>
        <v>0</v>
      </c>
      <c r="G109" s="51">
        <f>'Standard values'!G109</f>
        <v>0</v>
      </c>
      <c r="H109" s="52">
        <f t="shared" si="23"/>
        <v>0</v>
      </c>
      <c r="I109" s="52">
        <f t="shared" si="23"/>
        <v>0</v>
      </c>
      <c r="J109" s="53">
        <f t="shared" si="16"/>
        <v>0</v>
      </c>
      <c r="K109" s="54">
        <f t="shared" si="17"/>
        <v>0</v>
      </c>
      <c r="L109" s="55">
        <f t="shared" si="18"/>
        <v>0</v>
      </c>
      <c r="M109" s="55">
        <f t="shared" si="19"/>
        <v>0</v>
      </c>
      <c r="N109" s="55">
        <f t="shared" si="20"/>
        <v>0</v>
      </c>
      <c r="O109" s="53">
        <f t="shared" si="21"/>
        <v>0</v>
      </c>
      <c r="P109" s="54">
        <f t="shared" si="22"/>
        <v>0</v>
      </c>
      <c r="Q109" s="54">
        <f t="shared" si="15"/>
        <v>0</v>
      </c>
      <c r="R109" s="17">
        <v>4</v>
      </c>
      <c r="S109" s="74">
        <f>4.58/500</f>
        <v>0.00916</v>
      </c>
      <c r="T109" s="57">
        <f t="shared" si="13"/>
        <v>0.9159999999999999</v>
      </c>
      <c r="U109" s="15">
        <v>0.6</v>
      </c>
      <c r="V109" s="58"/>
      <c r="W109" s="74"/>
      <c r="X109" s="58"/>
      <c r="Y109" s="58"/>
      <c r="Z109" s="59"/>
      <c r="AD109" s="58"/>
      <c r="AE109" s="58"/>
      <c r="AF109" s="58"/>
    </row>
    <row r="110" spans="1:32" s="17" customFormat="1" ht="30" customHeight="1">
      <c r="A110" s="18" t="s">
        <v>115</v>
      </c>
      <c r="B110" s="51">
        <f>'Standard values'!B110</f>
        <v>0</v>
      </c>
      <c r="C110" s="51">
        <f>'Standard values'!C110</f>
        <v>0</v>
      </c>
      <c r="D110" s="51">
        <f>'Standard values'!D110</f>
        <v>0</v>
      </c>
      <c r="E110" s="51">
        <f>'Standard values'!E110</f>
        <v>0</v>
      </c>
      <c r="F110" s="51">
        <f>'Standard values'!F110</f>
        <v>0</v>
      </c>
      <c r="G110" s="51">
        <f>'Standard values'!G110</f>
        <v>0</v>
      </c>
      <c r="H110" s="52">
        <f t="shared" si="23"/>
        <v>0</v>
      </c>
      <c r="I110" s="52">
        <f t="shared" si="23"/>
        <v>0</v>
      </c>
      <c r="J110" s="53">
        <f t="shared" si="16"/>
        <v>0</v>
      </c>
      <c r="K110" s="54">
        <f t="shared" si="17"/>
        <v>0</v>
      </c>
      <c r="L110" s="55">
        <f t="shared" si="18"/>
        <v>0</v>
      </c>
      <c r="M110" s="55">
        <f t="shared" si="19"/>
        <v>0</v>
      </c>
      <c r="N110" s="55">
        <f t="shared" si="20"/>
        <v>0</v>
      </c>
      <c r="O110" s="53">
        <f t="shared" si="21"/>
        <v>0</v>
      </c>
      <c r="P110" s="54">
        <f t="shared" si="22"/>
        <v>0</v>
      </c>
      <c r="Q110" s="54">
        <f t="shared" si="15"/>
        <v>0</v>
      </c>
      <c r="R110" s="17">
        <v>10</v>
      </c>
      <c r="S110" s="113">
        <f>2.95/400</f>
        <v>0.0073750000000000005</v>
      </c>
      <c r="T110" s="57">
        <f t="shared" si="13"/>
        <v>0.7375</v>
      </c>
      <c r="U110" s="17">
        <v>0.75</v>
      </c>
      <c r="V110" s="58" t="s">
        <v>319</v>
      </c>
      <c r="W110" s="74"/>
      <c r="X110" s="58"/>
      <c r="Y110" s="58"/>
      <c r="Z110" s="59"/>
      <c r="AD110" s="58"/>
      <c r="AE110" s="58"/>
      <c r="AF110" s="58"/>
    </row>
    <row r="111" spans="1:32" s="17" customFormat="1" ht="30" customHeight="1">
      <c r="A111" s="18" t="s">
        <v>116</v>
      </c>
      <c r="B111" s="51">
        <f>'Standard values'!B111</f>
        <v>0</v>
      </c>
      <c r="C111" s="51">
        <f>'Standard values'!C111</f>
        <v>0</v>
      </c>
      <c r="D111" s="51">
        <f>'Standard values'!D111</f>
        <v>0</v>
      </c>
      <c r="E111" s="51">
        <f>'Standard values'!E111</f>
        <v>0</v>
      </c>
      <c r="F111" s="51">
        <f>'Standard values'!F111</f>
        <v>0</v>
      </c>
      <c r="G111" s="51">
        <f>'Standard values'!G111</f>
        <v>0</v>
      </c>
      <c r="H111" s="52">
        <f t="shared" si="23"/>
        <v>0</v>
      </c>
      <c r="I111" s="52">
        <f t="shared" si="23"/>
        <v>0</v>
      </c>
      <c r="J111" s="53">
        <f t="shared" si="16"/>
        <v>0</v>
      </c>
      <c r="K111" s="54">
        <f t="shared" si="17"/>
        <v>0</v>
      </c>
      <c r="L111" s="55">
        <f t="shared" si="18"/>
        <v>0</v>
      </c>
      <c r="M111" s="55">
        <f t="shared" si="19"/>
        <v>0</v>
      </c>
      <c r="N111" s="55">
        <f t="shared" si="20"/>
        <v>0</v>
      </c>
      <c r="O111" s="53">
        <f t="shared" si="21"/>
        <v>0</v>
      </c>
      <c r="P111" s="54">
        <f t="shared" si="22"/>
        <v>0</v>
      </c>
      <c r="Q111" s="54">
        <f t="shared" si="15"/>
        <v>0</v>
      </c>
      <c r="R111" s="61">
        <v>20</v>
      </c>
      <c r="S111" s="113">
        <f>4.15/500</f>
        <v>0.0083</v>
      </c>
      <c r="T111" s="57">
        <f t="shared" si="13"/>
        <v>0.83</v>
      </c>
      <c r="U111" s="17">
        <v>0</v>
      </c>
      <c r="V111" s="58" t="s">
        <v>416</v>
      </c>
      <c r="W111" s="74"/>
      <c r="X111" s="58"/>
      <c r="Y111" s="58"/>
      <c r="Z111" s="59"/>
      <c r="AD111" s="58"/>
      <c r="AE111" s="58"/>
      <c r="AF111" s="58"/>
    </row>
    <row r="112" spans="1:32" s="17" customFormat="1" ht="30" customHeight="1">
      <c r="A112" s="18" t="s">
        <v>117</v>
      </c>
      <c r="B112" s="51">
        <f>'Standard values'!B112</f>
        <v>0</v>
      </c>
      <c r="C112" s="51">
        <f>'Standard values'!C112</f>
        <v>0</v>
      </c>
      <c r="D112" s="51">
        <f>'Standard values'!D112</f>
        <v>0</v>
      </c>
      <c r="E112" s="51">
        <f>'Standard values'!E112</f>
        <v>0</v>
      </c>
      <c r="F112" s="51">
        <f>'Standard values'!F112</f>
        <v>0</v>
      </c>
      <c r="G112" s="51">
        <f>'Standard values'!G112</f>
        <v>0</v>
      </c>
      <c r="H112" s="52">
        <f t="shared" si="23"/>
        <v>0</v>
      </c>
      <c r="I112" s="52">
        <f t="shared" si="23"/>
        <v>0</v>
      </c>
      <c r="J112" s="53">
        <f t="shared" si="16"/>
        <v>0</v>
      </c>
      <c r="K112" s="54">
        <f t="shared" si="17"/>
        <v>0</v>
      </c>
      <c r="L112" s="55">
        <f t="shared" si="18"/>
        <v>0</v>
      </c>
      <c r="M112" s="55">
        <f t="shared" si="19"/>
        <v>0</v>
      </c>
      <c r="N112" s="55">
        <f t="shared" si="20"/>
        <v>0</v>
      </c>
      <c r="O112" s="53">
        <f t="shared" si="21"/>
        <v>0</v>
      </c>
      <c r="P112" s="54">
        <f t="shared" si="22"/>
        <v>0</v>
      </c>
      <c r="Q112" s="54">
        <f t="shared" si="15"/>
        <v>0</v>
      </c>
      <c r="R112" s="17">
        <v>1</v>
      </c>
      <c r="S112" s="74">
        <v>0.01100107585671705</v>
      </c>
      <c r="T112" s="57">
        <f t="shared" si="13"/>
        <v>1.100107585671705</v>
      </c>
      <c r="U112" s="17">
        <v>0.5</v>
      </c>
      <c r="V112" s="58"/>
      <c r="W112" s="74"/>
      <c r="X112" s="58"/>
      <c r="Y112" s="58"/>
      <c r="Z112" s="59"/>
      <c r="AD112" s="58"/>
      <c r="AE112" s="58"/>
      <c r="AF112" s="58"/>
    </row>
    <row r="113" spans="1:32" s="17" customFormat="1" ht="30" customHeight="1">
      <c r="A113" s="16" t="s">
        <v>118</v>
      </c>
      <c r="B113" s="51">
        <f>'Standard values'!B113</f>
        <v>0</v>
      </c>
      <c r="C113" s="51">
        <f>'Standard values'!C113</f>
        <v>0</v>
      </c>
      <c r="D113" s="51">
        <f>'Standard values'!D113</f>
        <v>0</v>
      </c>
      <c r="E113" s="51">
        <f>'Standard values'!E113</f>
        <v>0</v>
      </c>
      <c r="F113" s="51">
        <f>'Standard values'!F113</f>
        <v>0</v>
      </c>
      <c r="G113" s="51">
        <f>'Standard values'!G113</f>
        <v>0</v>
      </c>
      <c r="H113" s="52">
        <f t="shared" si="23"/>
        <v>0</v>
      </c>
      <c r="I113" s="52">
        <f t="shared" si="23"/>
        <v>0</v>
      </c>
      <c r="J113" s="53">
        <f t="shared" si="16"/>
        <v>0</v>
      </c>
      <c r="K113" s="54">
        <f t="shared" si="17"/>
        <v>0</v>
      </c>
      <c r="L113" s="55">
        <f t="shared" si="18"/>
        <v>0</v>
      </c>
      <c r="M113" s="55">
        <f t="shared" si="19"/>
        <v>0</v>
      </c>
      <c r="N113" s="55">
        <f t="shared" si="20"/>
        <v>0</v>
      </c>
      <c r="O113" s="53">
        <f t="shared" si="21"/>
        <v>0</v>
      </c>
      <c r="P113" s="54">
        <f t="shared" si="22"/>
        <v>0</v>
      </c>
      <c r="Q113" s="54">
        <f t="shared" si="15"/>
        <v>0</v>
      </c>
      <c r="R113" s="15">
        <v>200</v>
      </c>
      <c r="S113" s="113">
        <f>(3.25/2)/200</f>
        <v>0.008125</v>
      </c>
      <c r="T113" s="57">
        <f t="shared" si="13"/>
        <v>0.8125</v>
      </c>
      <c r="U113" s="15">
        <v>1</v>
      </c>
      <c r="V113" s="58" t="s">
        <v>322</v>
      </c>
      <c r="W113" s="74"/>
      <c r="X113" s="58"/>
      <c r="Y113" s="58"/>
      <c r="Z113" s="59"/>
      <c r="AD113" s="58"/>
      <c r="AE113" s="58"/>
      <c r="AF113" s="58"/>
    </row>
    <row r="114" spans="1:32" s="17" customFormat="1" ht="30" customHeight="1">
      <c r="A114" s="16" t="s">
        <v>119</v>
      </c>
      <c r="B114" s="51">
        <f>'Standard values'!B114</f>
        <v>0</v>
      </c>
      <c r="C114" s="51">
        <f>'Standard values'!C114</f>
        <v>0</v>
      </c>
      <c r="D114" s="51">
        <f>'Standard values'!D114</f>
        <v>0</v>
      </c>
      <c r="E114" s="51">
        <f>'Standard values'!E114</f>
        <v>0</v>
      </c>
      <c r="F114" s="51">
        <f>'Standard values'!F114</f>
        <v>0</v>
      </c>
      <c r="G114" s="51">
        <f>'Standard values'!G114</f>
        <v>0</v>
      </c>
      <c r="H114" s="52">
        <f t="shared" si="23"/>
        <v>0</v>
      </c>
      <c r="I114" s="52">
        <f t="shared" si="23"/>
        <v>0</v>
      </c>
      <c r="J114" s="53">
        <f t="shared" si="16"/>
        <v>0</v>
      </c>
      <c r="K114" s="54">
        <f t="shared" si="17"/>
        <v>0</v>
      </c>
      <c r="L114" s="55">
        <f t="shared" si="18"/>
        <v>0</v>
      </c>
      <c r="M114" s="55">
        <f t="shared" si="19"/>
        <v>0</v>
      </c>
      <c r="N114" s="55">
        <f t="shared" si="20"/>
        <v>0</v>
      </c>
      <c r="O114" s="53">
        <f t="shared" si="21"/>
        <v>0</v>
      </c>
      <c r="P114" s="54">
        <f t="shared" si="22"/>
        <v>0</v>
      </c>
      <c r="Q114" s="54">
        <f t="shared" si="15"/>
        <v>0</v>
      </c>
      <c r="R114" s="15">
        <v>400</v>
      </c>
      <c r="S114" s="113">
        <f>17.5/7000</f>
        <v>0.0025</v>
      </c>
      <c r="T114" s="57">
        <f t="shared" si="13"/>
        <v>0.25</v>
      </c>
      <c r="U114" s="15">
        <v>1</v>
      </c>
      <c r="V114" s="58" t="s">
        <v>324</v>
      </c>
      <c r="W114" s="74"/>
      <c r="X114" s="58"/>
      <c r="Y114" s="58"/>
      <c r="Z114" s="59"/>
      <c r="AD114" s="58"/>
      <c r="AE114" s="58"/>
      <c r="AF114" s="58"/>
    </row>
    <row r="115" spans="1:32" s="17" customFormat="1" ht="30" customHeight="1">
      <c r="A115" s="16" t="s">
        <v>120</v>
      </c>
      <c r="B115" s="51">
        <f>'Standard values'!B115</f>
        <v>0</v>
      </c>
      <c r="C115" s="51">
        <f>'Standard values'!C115</f>
        <v>0</v>
      </c>
      <c r="D115" s="51">
        <f>'Standard values'!D115</f>
        <v>0</v>
      </c>
      <c r="E115" s="51">
        <f>'Standard values'!E115</f>
        <v>0</v>
      </c>
      <c r="F115" s="51">
        <f>'Standard values'!F115</f>
        <v>0</v>
      </c>
      <c r="G115" s="51">
        <f>'Standard values'!G115</f>
        <v>0</v>
      </c>
      <c r="H115" s="52">
        <f t="shared" si="23"/>
        <v>0</v>
      </c>
      <c r="I115" s="52">
        <f t="shared" si="23"/>
        <v>0</v>
      </c>
      <c r="J115" s="53">
        <f t="shared" si="16"/>
        <v>0</v>
      </c>
      <c r="K115" s="54">
        <f t="shared" si="17"/>
        <v>0</v>
      </c>
      <c r="L115" s="55">
        <f t="shared" si="18"/>
        <v>0</v>
      </c>
      <c r="M115" s="55">
        <f t="shared" si="19"/>
        <v>0</v>
      </c>
      <c r="N115" s="55">
        <f t="shared" si="20"/>
        <v>0</v>
      </c>
      <c r="O115" s="53">
        <f t="shared" si="21"/>
        <v>0</v>
      </c>
      <c r="P115" s="54">
        <f t="shared" si="22"/>
        <v>0</v>
      </c>
      <c r="Q115" s="54">
        <f t="shared" si="15"/>
        <v>0</v>
      </c>
      <c r="R115" s="61">
        <v>10</v>
      </c>
      <c r="S115" s="113">
        <f>12.45/1000</f>
        <v>0.01245</v>
      </c>
      <c r="T115" s="57">
        <f t="shared" si="13"/>
        <v>1.2449999999999999</v>
      </c>
      <c r="U115" s="15">
        <v>0.4</v>
      </c>
      <c r="V115" s="58" t="s">
        <v>326</v>
      </c>
      <c r="W115" s="74"/>
      <c r="X115" s="58"/>
      <c r="Y115" s="58"/>
      <c r="Z115" s="59"/>
      <c r="AD115" s="58"/>
      <c r="AE115" s="58"/>
      <c r="AF115" s="58"/>
    </row>
    <row r="116" spans="1:32" s="17" customFormat="1" ht="30" customHeight="1">
      <c r="A116" s="18" t="s">
        <v>121</v>
      </c>
      <c r="B116" s="51">
        <f>'Standard values'!B116</f>
        <v>0</v>
      </c>
      <c r="C116" s="51">
        <f>'Standard values'!C116</f>
        <v>0</v>
      </c>
      <c r="D116" s="51">
        <f>'Standard values'!D116</f>
        <v>0</v>
      </c>
      <c r="E116" s="51">
        <f>'Standard values'!E116</f>
        <v>0</v>
      </c>
      <c r="F116" s="51">
        <f>'Standard values'!F116</f>
        <v>0</v>
      </c>
      <c r="G116" s="51">
        <f>'Standard values'!G116</f>
        <v>0</v>
      </c>
      <c r="H116" s="52">
        <f t="shared" si="23"/>
        <v>0</v>
      </c>
      <c r="I116" s="52">
        <f t="shared" si="23"/>
        <v>0</v>
      </c>
      <c r="J116" s="53">
        <f t="shared" si="16"/>
        <v>0</v>
      </c>
      <c r="K116" s="54">
        <f t="shared" si="17"/>
        <v>0</v>
      </c>
      <c r="L116" s="55">
        <f t="shared" si="18"/>
        <v>0</v>
      </c>
      <c r="M116" s="55">
        <f t="shared" si="19"/>
        <v>0</v>
      </c>
      <c r="N116" s="55">
        <f t="shared" si="20"/>
        <v>0</v>
      </c>
      <c r="O116" s="53">
        <f t="shared" si="21"/>
        <v>0</v>
      </c>
      <c r="P116" s="54">
        <f t="shared" si="22"/>
        <v>0</v>
      </c>
      <c r="Q116" s="54">
        <f t="shared" si="15"/>
        <v>0</v>
      </c>
      <c r="R116" s="15">
        <v>500</v>
      </c>
      <c r="S116" s="113">
        <f>2.5/500</f>
        <v>0.005</v>
      </c>
      <c r="T116" s="57">
        <f t="shared" si="13"/>
        <v>0.5</v>
      </c>
      <c r="U116" s="17">
        <v>0</v>
      </c>
      <c r="V116" s="58" t="s">
        <v>328</v>
      </c>
      <c r="W116" s="74"/>
      <c r="X116" s="58"/>
      <c r="Y116" s="58"/>
      <c r="Z116" s="59"/>
      <c r="AD116" s="58"/>
      <c r="AE116" s="58"/>
      <c r="AF116" s="58"/>
    </row>
    <row r="117" spans="1:32" s="17" customFormat="1" ht="30" customHeight="1">
      <c r="A117" s="16" t="s">
        <v>122</v>
      </c>
      <c r="B117" s="51">
        <f>'Standard values'!B117</f>
        <v>0</v>
      </c>
      <c r="C117" s="51">
        <f>'Standard values'!C117</f>
        <v>0</v>
      </c>
      <c r="D117" s="51">
        <f>'Standard values'!D117</f>
        <v>0</v>
      </c>
      <c r="E117" s="51">
        <f>'Standard values'!E117</f>
        <v>0</v>
      </c>
      <c r="F117" s="51">
        <f>'Standard values'!F117</f>
        <v>0</v>
      </c>
      <c r="G117" s="51">
        <f>'Standard values'!G117</f>
        <v>0</v>
      </c>
      <c r="H117" s="52">
        <f t="shared" si="23"/>
        <v>0</v>
      </c>
      <c r="I117" s="52">
        <f t="shared" si="23"/>
        <v>0</v>
      </c>
      <c r="J117" s="53">
        <f t="shared" si="16"/>
        <v>0</v>
      </c>
      <c r="K117" s="54">
        <f t="shared" si="17"/>
        <v>0</v>
      </c>
      <c r="L117" s="55">
        <f t="shared" si="18"/>
        <v>0</v>
      </c>
      <c r="M117" s="55">
        <f t="shared" si="19"/>
        <v>0</v>
      </c>
      <c r="N117" s="55">
        <f t="shared" si="20"/>
        <v>0</v>
      </c>
      <c r="O117" s="53">
        <f t="shared" si="21"/>
        <v>0</v>
      </c>
      <c r="P117" s="54">
        <f t="shared" si="22"/>
        <v>0</v>
      </c>
      <c r="Q117" s="54">
        <f t="shared" si="15"/>
        <v>0</v>
      </c>
      <c r="R117" s="15">
        <v>14</v>
      </c>
      <c r="S117" s="113">
        <f>(2.05/4)/14</f>
        <v>0.03660714285714285</v>
      </c>
      <c r="T117" s="57">
        <f t="shared" si="13"/>
        <v>3.660714285714285</v>
      </c>
      <c r="U117" s="15"/>
      <c r="V117" s="58" t="s">
        <v>332</v>
      </c>
      <c r="W117" s="74"/>
      <c r="X117" s="58"/>
      <c r="Y117" s="58"/>
      <c r="Z117" s="59"/>
      <c r="AD117" s="58"/>
      <c r="AE117" s="58"/>
      <c r="AF117" s="58"/>
    </row>
    <row r="118" spans="1:32" s="17" customFormat="1" ht="30" customHeight="1">
      <c r="A118" s="16" t="s">
        <v>123</v>
      </c>
      <c r="B118" s="51">
        <f>'Standard values'!B118</f>
        <v>0</v>
      </c>
      <c r="C118" s="51">
        <f>'Standard values'!C118</f>
        <v>0</v>
      </c>
      <c r="D118" s="51">
        <f>'Standard values'!D118</f>
        <v>0</v>
      </c>
      <c r="E118" s="51">
        <f>'Standard values'!E118</f>
        <v>0</v>
      </c>
      <c r="F118" s="51">
        <f>'Standard values'!F118</f>
        <v>0</v>
      </c>
      <c r="G118" s="51">
        <f>'Standard values'!G118</f>
        <v>0</v>
      </c>
      <c r="H118" s="52">
        <f t="shared" si="23"/>
        <v>0</v>
      </c>
      <c r="I118" s="52">
        <f t="shared" si="23"/>
        <v>0</v>
      </c>
      <c r="J118" s="53">
        <f t="shared" si="16"/>
        <v>0</v>
      </c>
      <c r="K118" s="54">
        <f t="shared" si="17"/>
        <v>0</v>
      </c>
      <c r="L118" s="55">
        <f t="shared" si="18"/>
        <v>0</v>
      </c>
      <c r="M118" s="55">
        <f t="shared" si="19"/>
        <v>0</v>
      </c>
      <c r="N118" s="55">
        <f t="shared" si="20"/>
        <v>0</v>
      </c>
      <c r="O118" s="53">
        <f t="shared" si="21"/>
        <v>0</v>
      </c>
      <c r="P118" s="54">
        <f t="shared" si="22"/>
        <v>0</v>
      </c>
      <c r="Q118" s="54">
        <f t="shared" si="15"/>
        <v>0</v>
      </c>
      <c r="R118" s="15">
        <v>180</v>
      </c>
      <c r="S118" s="113">
        <f>3.75/100</f>
        <v>0.0375</v>
      </c>
      <c r="T118" s="57">
        <f t="shared" si="13"/>
        <v>3.75</v>
      </c>
      <c r="U118" s="15">
        <v>0</v>
      </c>
      <c r="V118" s="58" t="s">
        <v>331</v>
      </c>
      <c r="W118" s="74"/>
      <c r="X118" s="58"/>
      <c r="Y118" s="58"/>
      <c r="Z118" s="59"/>
      <c r="AD118" s="58"/>
      <c r="AE118" s="58"/>
      <c r="AF118" s="58"/>
    </row>
    <row r="119" spans="1:32" s="17" customFormat="1" ht="30" customHeight="1">
      <c r="A119" s="16" t="s">
        <v>124</v>
      </c>
      <c r="B119" s="51">
        <f>'Standard values'!B119</f>
        <v>0</v>
      </c>
      <c r="C119" s="51">
        <f>'Standard values'!C119</f>
        <v>0</v>
      </c>
      <c r="D119" s="51">
        <f>'Standard values'!D119</f>
        <v>0</v>
      </c>
      <c r="E119" s="51">
        <f>'Standard values'!E119</f>
        <v>0</v>
      </c>
      <c r="F119" s="51">
        <f>'Standard values'!F119</f>
        <v>0</v>
      </c>
      <c r="G119" s="51">
        <f>'Standard values'!G119</f>
        <v>0</v>
      </c>
      <c r="H119" s="52">
        <f t="shared" si="23"/>
        <v>0</v>
      </c>
      <c r="I119" s="52">
        <f t="shared" si="23"/>
        <v>0</v>
      </c>
      <c r="J119" s="53">
        <f t="shared" si="16"/>
        <v>0</v>
      </c>
      <c r="K119" s="54">
        <f t="shared" si="17"/>
        <v>0</v>
      </c>
      <c r="L119" s="55">
        <f t="shared" si="18"/>
        <v>0</v>
      </c>
      <c r="M119" s="55">
        <f t="shared" si="19"/>
        <v>0</v>
      </c>
      <c r="N119" s="55">
        <f t="shared" si="20"/>
        <v>0</v>
      </c>
      <c r="O119" s="53">
        <f t="shared" si="21"/>
        <v>0</v>
      </c>
      <c r="P119" s="54">
        <f t="shared" si="22"/>
        <v>0</v>
      </c>
      <c r="Q119" s="54">
        <f t="shared" si="15"/>
        <v>0</v>
      </c>
      <c r="R119" s="17">
        <v>5</v>
      </c>
      <c r="S119" s="113">
        <f>12.5/1000</f>
        <v>0.0125</v>
      </c>
      <c r="T119" s="57">
        <f t="shared" si="13"/>
        <v>1.25</v>
      </c>
      <c r="U119" s="15">
        <v>0.5</v>
      </c>
      <c r="V119" s="58" t="s">
        <v>333</v>
      </c>
      <c r="W119" s="74"/>
      <c r="X119" s="58"/>
      <c r="Y119" s="58"/>
      <c r="Z119" s="59"/>
      <c r="AD119" s="58"/>
      <c r="AE119" s="58"/>
      <c r="AF119" s="58"/>
    </row>
    <row r="120" spans="1:32" s="17" customFormat="1" ht="30" customHeight="1">
      <c r="A120" s="16" t="s">
        <v>125</v>
      </c>
      <c r="B120" s="51">
        <f>'Standard values'!B120</f>
        <v>0</v>
      </c>
      <c r="C120" s="51">
        <f>'Standard values'!C120</f>
        <v>0</v>
      </c>
      <c r="D120" s="51">
        <f>'Standard values'!D120</f>
        <v>0</v>
      </c>
      <c r="E120" s="51">
        <f>'Standard values'!E120</f>
        <v>0</v>
      </c>
      <c r="F120" s="51">
        <f>'Standard values'!F120</f>
        <v>0</v>
      </c>
      <c r="G120" s="51">
        <f>'Standard values'!G120</f>
        <v>0</v>
      </c>
      <c r="H120" s="52">
        <f aca="true" t="shared" si="24" ref="H120:I123">P120</f>
        <v>0</v>
      </c>
      <c r="I120" s="52">
        <f t="shared" si="24"/>
        <v>0</v>
      </c>
      <c r="J120" s="53">
        <f t="shared" si="16"/>
        <v>0</v>
      </c>
      <c r="K120" s="54">
        <f t="shared" si="17"/>
        <v>0</v>
      </c>
      <c r="L120" s="55">
        <f t="shared" si="18"/>
        <v>0</v>
      </c>
      <c r="M120" s="55">
        <f t="shared" si="19"/>
        <v>0</v>
      </c>
      <c r="N120" s="55">
        <f t="shared" si="20"/>
        <v>0</v>
      </c>
      <c r="O120" s="53">
        <f t="shared" si="21"/>
        <v>0</v>
      </c>
      <c r="P120" s="54">
        <f t="shared" si="22"/>
        <v>0</v>
      </c>
      <c r="Q120" s="54">
        <f t="shared" si="15"/>
        <v>0</v>
      </c>
      <c r="R120" s="17">
        <v>25</v>
      </c>
      <c r="S120" s="113">
        <f>10/1000</f>
        <v>0.01</v>
      </c>
      <c r="T120" s="57">
        <f t="shared" si="13"/>
        <v>1</v>
      </c>
      <c r="U120" s="15">
        <v>0.5</v>
      </c>
      <c r="V120" s="58" t="s">
        <v>334</v>
      </c>
      <c r="W120" s="74"/>
      <c r="X120" s="58"/>
      <c r="Y120" s="58"/>
      <c r="Z120" s="59"/>
      <c r="AD120" s="58"/>
      <c r="AE120" s="58"/>
      <c r="AF120" s="58"/>
    </row>
    <row r="121" spans="1:32" s="17" customFormat="1" ht="30" customHeight="1">
      <c r="A121" s="18" t="s">
        <v>126</v>
      </c>
      <c r="B121" s="51">
        <f>'Standard values'!B121</f>
        <v>0</v>
      </c>
      <c r="C121" s="51">
        <f>'Standard values'!C121</f>
        <v>0</v>
      </c>
      <c r="D121" s="51">
        <f>'Standard values'!D121</f>
        <v>0</v>
      </c>
      <c r="E121" s="51">
        <f>'Standard values'!E121</f>
        <v>0</v>
      </c>
      <c r="F121" s="51">
        <f>'Standard values'!F121</f>
        <v>0</v>
      </c>
      <c r="G121" s="51">
        <f>'Standard values'!G121</f>
        <v>0</v>
      </c>
      <c r="H121" s="52">
        <f t="shared" si="24"/>
        <v>0</v>
      </c>
      <c r="I121" s="52">
        <f t="shared" si="24"/>
        <v>0</v>
      </c>
      <c r="J121" s="53">
        <f t="shared" si="16"/>
        <v>0</v>
      </c>
      <c r="K121" s="54">
        <f t="shared" si="17"/>
        <v>0</v>
      </c>
      <c r="L121" s="55">
        <f t="shared" si="18"/>
        <v>0</v>
      </c>
      <c r="M121" s="55">
        <f t="shared" si="19"/>
        <v>0</v>
      </c>
      <c r="N121" s="55">
        <f t="shared" si="20"/>
        <v>0</v>
      </c>
      <c r="O121" s="53">
        <f t="shared" si="21"/>
        <v>0</v>
      </c>
      <c r="P121" s="54">
        <f t="shared" si="22"/>
        <v>0</v>
      </c>
      <c r="Q121" s="54">
        <f t="shared" si="15"/>
        <v>0</v>
      </c>
      <c r="R121" s="17">
        <v>60</v>
      </c>
      <c r="S121" s="113">
        <f>3.45/750</f>
        <v>0.0046</v>
      </c>
      <c r="T121" s="57">
        <f t="shared" si="13"/>
        <v>0.45999999999999996</v>
      </c>
      <c r="U121" s="17">
        <v>0</v>
      </c>
      <c r="V121" s="58" t="s">
        <v>337</v>
      </c>
      <c r="W121" s="74"/>
      <c r="X121" s="58"/>
      <c r="Y121" s="58"/>
      <c r="Z121" s="59"/>
      <c r="AD121" s="58"/>
      <c r="AE121" s="58"/>
      <c r="AF121" s="58"/>
    </row>
    <row r="122" spans="1:32" s="17" customFormat="1" ht="30" customHeight="1">
      <c r="A122" s="16" t="s">
        <v>127</v>
      </c>
      <c r="B122" s="51">
        <f>'Standard values'!B122</f>
        <v>0</v>
      </c>
      <c r="C122" s="51">
        <f>'Standard values'!C122</f>
        <v>0</v>
      </c>
      <c r="D122" s="51">
        <f>'Standard values'!D122</f>
        <v>0</v>
      </c>
      <c r="E122" s="51">
        <f>'Standard values'!E122</f>
        <v>0</v>
      </c>
      <c r="F122" s="51">
        <f>'Standard values'!F122</f>
        <v>0</v>
      </c>
      <c r="G122" s="51">
        <f>'Standard values'!G122</f>
        <v>0</v>
      </c>
      <c r="H122" s="52">
        <f t="shared" si="24"/>
        <v>0</v>
      </c>
      <c r="I122" s="52">
        <f t="shared" si="24"/>
        <v>0</v>
      </c>
      <c r="J122" s="53">
        <f t="shared" si="16"/>
        <v>0</v>
      </c>
      <c r="K122" s="54">
        <f t="shared" si="17"/>
        <v>0</v>
      </c>
      <c r="L122" s="55">
        <f t="shared" si="18"/>
        <v>0</v>
      </c>
      <c r="M122" s="55">
        <f t="shared" si="19"/>
        <v>0</v>
      </c>
      <c r="N122" s="55">
        <f t="shared" si="20"/>
        <v>0</v>
      </c>
      <c r="O122" s="53">
        <f t="shared" si="21"/>
        <v>0</v>
      </c>
      <c r="P122" s="54">
        <f t="shared" si="22"/>
        <v>0</v>
      </c>
      <c r="Q122" s="54">
        <f t="shared" si="15"/>
        <v>0</v>
      </c>
      <c r="R122" s="15">
        <v>1</v>
      </c>
      <c r="S122" s="113">
        <f>2/100</f>
        <v>0.02</v>
      </c>
      <c r="T122" s="57">
        <f t="shared" si="13"/>
        <v>2</v>
      </c>
      <c r="U122" s="15">
        <v>0</v>
      </c>
      <c r="V122" s="58" t="s">
        <v>394</v>
      </c>
      <c r="W122" s="74"/>
      <c r="X122" s="58"/>
      <c r="Y122" s="58"/>
      <c r="Z122" s="59"/>
      <c r="AD122" s="58"/>
      <c r="AE122" s="58"/>
      <c r="AF122" s="58"/>
    </row>
    <row r="123" spans="1:32" s="17" customFormat="1" ht="30" customHeight="1">
      <c r="A123" s="16" t="s">
        <v>128</v>
      </c>
      <c r="B123" s="51">
        <f>'Standard values'!B123</f>
        <v>0</v>
      </c>
      <c r="C123" s="51">
        <f>'Standard values'!C123</f>
        <v>0</v>
      </c>
      <c r="D123" s="51">
        <f>'Standard values'!D123</f>
        <v>0</v>
      </c>
      <c r="E123" s="51">
        <f>'Standard values'!E123</f>
        <v>0</v>
      </c>
      <c r="F123" s="51">
        <f>'Standard values'!F123</f>
        <v>0</v>
      </c>
      <c r="G123" s="51">
        <f>'Standard values'!G123</f>
        <v>0</v>
      </c>
      <c r="H123" s="52">
        <f t="shared" si="24"/>
        <v>0</v>
      </c>
      <c r="I123" s="52">
        <f t="shared" si="24"/>
        <v>0</v>
      </c>
      <c r="J123" s="53">
        <f t="shared" si="16"/>
        <v>0</v>
      </c>
      <c r="K123" s="54">
        <f t="shared" si="17"/>
        <v>0</v>
      </c>
      <c r="L123" s="55">
        <f t="shared" si="18"/>
        <v>0</v>
      </c>
      <c r="M123" s="55">
        <f t="shared" si="19"/>
        <v>0</v>
      </c>
      <c r="N123" s="55">
        <f t="shared" si="20"/>
        <v>0</v>
      </c>
      <c r="O123" s="53">
        <f t="shared" si="21"/>
        <v>0</v>
      </c>
      <c r="P123" s="54">
        <f t="shared" si="22"/>
        <v>0</v>
      </c>
      <c r="Q123" s="54">
        <f t="shared" si="15"/>
        <v>0</v>
      </c>
      <c r="R123" s="15">
        <v>1</v>
      </c>
      <c r="S123" s="113">
        <f>3.05/125</f>
        <v>0.024399999999999998</v>
      </c>
      <c r="T123" s="57">
        <f t="shared" si="13"/>
        <v>2.44</v>
      </c>
      <c r="U123" s="15">
        <v>0.25</v>
      </c>
      <c r="V123" s="58" t="s">
        <v>315</v>
      </c>
      <c r="W123" s="74"/>
      <c r="X123" s="58"/>
      <c r="Y123" s="58"/>
      <c r="Z123" s="59"/>
      <c r="AD123" s="58"/>
      <c r="AE123" s="58"/>
      <c r="AF123" s="58"/>
    </row>
    <row r="124" spans="1:32" ht="15.75">
      <c r="A124" s="5"/>
      <c r="B124" s="3"/>
      <c r="C124" s="3"/>
      <c r="D124" s="3"/>
      <c r="E124" s="19"/>
      <c r="F124" s="19"/>
      <c r="G124" s="19"/>
      <c r="H124" s="3"/>
      <c r="I124" s="3"/>
      <c r="J124" s="3"/>
      <c r="K124" s="3"/>
      <c r="L124" s="19"/>
      <c r="M124" s="19"/>
      <c r="N124" s="19"/>
      <c r="O124" s="3"/>
      <c r="P124" s="3"/>
      <c r="Q124" s="3"/>
      <c r="R124" s="3"/>
      <c r="T124" s="3"/>
      <c r="U124" s="3"/>
      <c r="V124" s="3"/>
      <c r="W124" s="3"/>
      <c r="X124" s="3"/>
      <c r="Y124" s="3"/>
      <c r="Z124" s="50"/>
      <c r="AD124" s="3"/>
      <c r="AE124" s="3"/>
      <c r="AF124" s="3"/>
    </row>
    <row r="125" spans="1:32" ht="15.75">
      <c r="A125" s="5"/>
      <c r="B125" s="3"/>
      <c r="C125" s="3"/>
      <c r="D125" s="3"/>
      <c r="E125" s="19"/>
      <c r="F125" s="19"/>
      <c r="G125" s="19"/>
      <c r="H125" s="3"/>
      <c r="I125" s="3"/>
      <c r="J125" s="3"/>
      <c r="K125" s="3"/>
      <c r="L125" s="19"/>
      <c r="M125" s="19"/>
      <c r="N125" s="19"/>
      <c r="O125" s="3"/>
      <c r="P125" s="3"/>
      <c r="Q125" s="3"/>
      <c r="R125" s="3"/>
      <c r="T125" s="3"/>
      <c r="U125" s="3"/>
      <c r="V125" s="3"/>
      <c r="W125" s="3"/>
      <c r="X125" s="3"/>
      <c r="Y125" s="3"/>
      <c r="Z125" s="50"/>
      <c r="AD125" s="3"/>
      <c r="AE125" s="3"/>
      <c r="AF125" s="3"/>
    </row>
    <row r="126" spans="1:32" ht="15.75">
      <c r="A126" s="5"/>
      <c r="B126" s="3"/>
      <c r="C126" s="3"/>
      <c r="D126" s="3"/>
      <c r="E126" s="19"/>
      <c r="F126" s="19"/>
      <c r="G126" s="19"/>
      <c r="H126" s="3"/>
      <c r="I126" s="3"/>
      <c r="J126" s="3"/>
      <c r="K126" s="3"/>
      <c r="L126" s="19"/>
      <c r="M126" s="19"/>
      <c r="N126" s="19"/>
      <c r="O126" s="3"/>
      <c r="P126" s="3"/>
      <c r="Q126" s="3"/>
      <c r="R126" s="3"/>
      <c r="T126" s="3"/>
      <c r="U126" s="3"/>
      <c r="V126" s="3"/>
      <c r="W126" s="3"/>
      <c r="X126" s="3"/>
      <c r="Y126" s="3"/>
      <c r="Z126" s="50"/>
      <c r="AD126" s="3"/>
      <c r="AE126" s="3"/>
      <c r="AF126" s="3"/>
    </row>
    <row r="127" spans="1:32" ht="15.75">
      <c r="A127" s="5"/>
      <c r="B127" s="3"/>
      <c r="C127" s="3"/>
      <c r="D127" s="3"/>
      <c r="E127" s="19"/>
      <c r="F127" s="19"/>
      <c r="G127" s="19"/>
      <c r="H127" s="3"/>
      <c r="I127" s="3"/>
      <c r="J127" s="3"/>
      <c r="K127" s="3"/>
      <c r="L127" s="19"/>
      <c r="M127" s="19"/>
      <c r="N127" s="19"/>
      <c r="O127" s="3"/>
      <c r="P127" s="3"/>
      <c r="Q127" s="3"/>
      <c r="R127" s="3"/>
      <c r="T127" s="3"/>
      <c r="U127" s="3"/>
      <c r="V127" s="3"/>
      <c r="W127" s="3"/>
      <c r="X127" s="3"/>
      <c r="Y127" s="3"/>
      <c r="Z127" s="50"/>
      <c r="AD127" s="3"/>
      <c r="AE127" s="3"/>
      <c r="AF127" s="3"/>
    </row>
    <row r="128" spans="1:32" ht="15.75">
      <c r="A128" s="5"/>
      <c r="B128" s="3"/>
      <c r="C128" s="3"/>
      <c r="D128" s="3"/>
      <c r="E128" s="19"/>
      <c r="F128" s="19"/>
      <c r="G128" s="19"/>
      <c r="H128" s="3"/>
      <c r="I128" s="3"/>
      <c r="J128" s="3"/>
      <c r="K128" s="3"/>
      <c r="L128" s="19"/>
      <c r="M128" s="19"/>
      <c r="N128" s="19"/>
      <c r="O128" s="3"/>
      <c r="P128" s="3"/>
      <c r="Q128" s="3"/>
      <c r="R128" s="3"/>
      <c r="T128" s="3"/>
      <c r="U128" s="3"/>
      <c r="V128" s="3"/>
      <c r="W128" s="3"/>
      <c r="X128" s="3"/>
      <c r="Y128" s="3"/>
      <c r="Z128" s="50"/>
      <c r="AD128" s="3"/>
      <c r="AE128" s="3"/>
      <c r="AF128" s="3"/>
    </row>
    <row r="129" spans="1:32" ht="15.75">
      <c r="A129" s="5"/>
      <c r="B129" s="3"/>
      <c r="C129" s="3"/>
      <c r="D129" s="3"/>
      <c r="E129" s="19"/>
      <c r="F129" s="19"/>
      <c r="G129" s="19"/>
      <c r="H129" s="3"/>
      <c r="I129" s="3"/>
      <c r="J129" s="3"/>
      <c r="K129" s="3"/>
      <c r="L129" s="19"/>
      <c r="M129" s="19"/>
      <c r="N129" s="19"/>
      <c r="O129" s="3"/>
      <c r="P129" s="3"/>
      <c r="Q129" s="3"/>
      <c r="R129" s="3"/>
      <c r="T129" s="3"/>
      <c r="U129" s="3"/>
      <c r="V129" s="3"/>
      <c r="W129" s="3"/>
      <c r="X129" s="3"/>
      <c r="Y129" s="3"/>
      <c r="Z129" s="50"/>
      <c r="AD129" s="3"/>
      <c r="AE129" s="3"/>
      <c r="AF129" s="3"/>
    </row>
    <row r="130" spans="1:32" ht="15.75">
      <c r="A130" s="5"/>
      <c r="B130" s="3"/>
      <c r="C130" s="3"/>
      <c r="D130" s="3"/>
      <c r="E130" s="19"/>
      <c r="F130" s="19"/>
      <c r="G130" s="19"/>
      <c r="H130" s="3"/>
      <c r="I130" s="3"/>
      <c r="J130" s="3"/>
      <c r="K130" s="3"/>
      <c r="L130" s="19"/>
      <c r="M130" s="19"/>
      <c r="N130" s="19"/>
      <c r="O130" s="3"/>
      <c r="P130" s="3"/>
      <c r="Q130" s="3"/>
      <c r="R130" s="3"/>
      <c r="T130" s="3"/>
      <c r="U130" s="3"/>
      <c r="V130" s="3"/>
      <c r="W130" s="3"/>
      <c r="X130" s="3"/>
      <c r="Y130" s="3"/>
      <c r="Z130" s="50"/>
      <c r="AD130" s="3"/>
      <c r="AE130" s="3"/>
      <c r="AF130" s="3"/>
    </row>
    <row r="131" spans="1:32" ht="15.75">
      <c r="A131" s="5"/>
      <c r="B131" s="3"/>
      <c r="C131" s="3"/>
      <c r="D131" s="3"/>
      <c r="E131" s="19"/>
      <c r="F131" s="19"/>
      <c r="G131" s="19"/>
      <c r="H131" s="3"/>
      <c r="I131" s="3"/>
      <c r="J131" s="3"/>
      <c r="K131" s="3"/>
      <c r="L131" s="19"/>
      <c r="M131" s="19"/>
      <c r="N131" s="19"/>
      <c r="O131" s="3"/>
      <c r="P131" s="3"/>
      <c r="Q131" s="3"/>
      <c r="R131" s="3"/>
      <c r="T131" s="3"/>
      <c r="U131" s="3"/>
      <c r="V131" s="3"/>
      <c r="W131" s="3"/>
      <c r="X131" s="3"/>
      <c r="Y131" s="3"/>
      <c r="Z131" s="50"/>
      <c r="AD131" s="3"/>
      <c r="AE131" s="3"/>
      <c r="AF131" s="3"/>
    </row>
    <row r="132" spans="1:32" ht="15.75">
      <c r="A132" s="5"/>
      <c r="B132" s="3"/>
      <c r="C132" s="3"/>
      <c r="D132" s="3"/>
      <c r="E132" s="19"/>
      <c r="F132" s="19"/>
      <c r="G132" s="19"/>
      <c r="H132" s="3"/>
      <c r="I132" s="3"/>
      <c r="J132" s="3"/>
      <c r="K132" s="3"/>
      <c r="L132" s="19"/>
      <c r="M132" s="19"/>
      <c r="N132" s="19"/>
      <c r="O132" s="3"/>
      <c r="P132" s="3"/>
      <c r="Q132" s="3"/>
      <c r="R132" s="3"/>
      <c r="T132" s="3"/>
      <c r="U132" s="3"/>
      <c r="V132" s="3"/>
      <c r="W132" s="3"/>
      <c r="X132" s="3"/>
      <c r="Y132" s="3"/>
      <c r="Z132" s="50"/>
      <c r="AD132" s="3"/>
      <c r="AE132" s="3"/>
      <c r="AF132" s="3"/>
    </row>
    <row r="133" spans="1:32" ht="15.75">
      <c r="A133" s="5"/>
      <c r="B133" s="3"/>
      <c r="C133" s="3"/>
      <c r="D133" s="3"/>
      <c r="E133" s="19"/>
      <c r="F133" s="19"/>
      <c r="G133" s="19"/>
      <c r="H133" s="3"/>
      <c r="I133" s="3"/>
      <c r="J133" s="3"/>
      <c r="K133" s="3"/>
      <c r="L133" s="19"/>
      <c r="M133" s="19"/>
      <c r="N133" s="19"/>
      <c r="O133" s="3"/>
      <c r="P133" s="3"/>
      <c r="Q133" s="3"/>
      <c r="R133" s="3"/>
      <c r="T133" s="3"/>
      <c r="U133" s="3"/>
      <c r="V133" s="3"/>
      <c r="W133" s="3"/>
      <c r="X133" s="3"/>
      <c r="Y133" s="3"/>
      <c r="Z133" s="50"/>
      <c r="AD133" s="3"/>
      <c r="AE133" s="3"/>
      <c r="AF133" s="3"/>
    </row>
    <row r="134" spans="1:32" ht="15.75">
      <c r="A134" s="5"/>
      <c r="B134" s="3"/>
      <c r="C134" s="3"/>
      <c r="D134" s="3"/>
      <c r="E134" s="19"/>
      <c r="F134" s="19"/>
      <c r="G134" s="19"/>
      <c r="H134" s="3"/>
      <c r="I134" s="3"/>
      <c r="J134" s="3"/>
      <c r="K134" s="3"/>
      <c r="L134" s="19"/>
      <c r="M134" s="19"/>
      <c r="N134" s="19"/>
      <c r="O134" s="3"/>
      <c r="P134" s="3"/>
      <c r="Q134" s="3"/>
      <c r="R134" s="3"/>
      <c r="T134" s="3"/>
      <c r="U134" s="3"/>
      <c r="V134" s="3"/>
      <c r="W134" s="3"/>
      <c r="X134" s="3"/>
      <c r="Y134" s="3"/>
      <c r="Z134" s="50"/>
      <c r="AD134" s="3"/>
      <c r="AE134" s="3"/>
      <c r="AF134" s="3"/>
    </row>
    <row r="135" spans="1:32" ht="15.75">
      <c r="A135" s="5"/>
      <c r="B135" s="3"/>
      <c r="C135" s="3"/>
      <c r="D135" s="3"/>
      <c r="E135" s="19"/>
      <c r="F135" s="19"/>
      <c r="G135" s="19"/>
      <c r="H135" s="3"/>
      <c r="I135" s="3"/>
      <c r="J135" s="3"/>
      <c r="K135" s="3"/>
      <c r="L135" s="19"/>
      <c r="M135" s="19"/>
      <c r="N135" s="19"/>
      <c r="O135" s="3"/>
      <c r="P135" s="3"/>
      <c r="Q135" s="3"/>
      <c r="R135" s="3"/>
      <c r="T135" s="3"/>
      <c r="U135" s="3"/>
      <c r="V135" s="3"/>
      <c r="W135" s="3"/>
      <c r="X135" s="3"/>
      <c r="Y135" s="3"/>
      <c r="Z135" s="50"/>
      <c r="AD135" s="3"/>
      <c r="AE135" s="3"/>
      <c r="AF135" s="3"/>
    </row>
    <row r="136" spans="1:32" ht="15.75">
      <c r="A136" s="5"/>
      <c r="B136" s="3"/>
      <c r="C136" s="3"/>
      <c r="D136" s="3"/>
      <c r="E136" s="19"/>
      <c r="F136" s="19"/>
      <c r="G136" s="19"/>
      <c r="H136" s="3"/>
      <c r="I136" s="3"/>
      <c r="J136" s="3"/>
      <c r="K136" s="3"/>
      <c r="L136" s="19"/>
      <c r="M136" s="19"/>
      <c r="N136" s="19"/>
      <c r="O136" s="3"/>
      <c r="P136" s="3"/>
      <c r="Q136" s="3"/>
      <c r="R136" s="3"/>
      <c r="T136" s="3"/>
      <c r="U136" s="3"/>
      <c r="V136" s="3"/>
      <c r="W136" s="3"/>
      <c r="X136" s="3"/>
      <c r="Y136" s="3"/>
      <c r="Z136" s="50"/>
      <c r="AD136" s="3"/>
      <c r="AE136" s="3"/>
      <c r="AF136" s="3"/>
    </row>
    <row r="137" spans="1:32" ht="15.75">
      <c r="A137" s="5"/>
      <c r="B137" s="3"/>
      <c r="C137" s="3"/>
      <c r="D137" s="3"/>
      <c r="E137" s="19"/>
      <c r="F137" s="19"/>
      <c r="G137" s="19"/>
      <c r="H137" s="3"/>
      <c r="I137" s="3"/>
      <c r="J137" s="3"/>
      <c r="K137" s="3"/>
      <c r="L137" s="19"/>
      <c r="M137" s="19"/>
      <c r="N137" s="19"/>
      <c r="O137" s="3"/>
      <c r="P137" s="3"/>
      <c r="Q137" s="3"/>
      <c r="R137" s="3"/>
      <c r="T137" s="3"/>
      <c r="U137" s="3"/>
      <c r="V137" s="3"/>
      <c r="W137" s="3"/>
      <c r="X137" s="3"/>
      <c r="Y137" s="3"/>
      <c r="Z137" s="50"/>
      <c r="AD137" s="3"/>
      <c r="AE137" s="3"/>
      <c r="AF137" s="3"/>
    </row>
    <row r="138" spans="1:32" ht="15.75">
      <c r="A138" s="5"/>
      <c r="B138" s="3"/>
      <c r="C138" s="3"/>
      <c r="D138" s="3"/>
      <c r="E138" s="19"/>
      <c r="F138" s="19"/>
      <c r="G138" s="19"/>
      <c r="H138" s="3"/>
      <c r="I138" s="3"/>
      <c r="J138" s="3"/>
      <c r="K138" s="3"/>
      <c r="L138" s="19"/>
      <c r="M138" s="19"/>
      <c r="N138" s="19"/>
      <c r="O138" s="3"/>
      <c r="P138" s="3"/>
      <c r="Q138" s="3"/>
      <c r="R138" s="3"/>
      <c r="T138" s="3"/>
      <c r="U138" s="3"/>
      <c r="V138" s="3"/>
      <c r="W138" s="3"/>
      <c r="X138" s="3"/>
      <c r="Y138" s="3"/>
      <c r="Z138" s="50"/>
      <c r="AD138" s="3"/>
      <c r="AE138" s="3"/>
      <c r="AF138" s="3"/>
    </row>
    <row r="139" spans="1:32" ht="15.75">
      <c r="A139" s="5"/>
      <c r="B139" s="3"/>
      <c r="C139" s="3"/>
      <c r="D139" s="3"/>
      <c r="E139" s="19"/>
      <c r="F139" s="19"/>
      <c r="G139" s="19"/>
      <c r="H139" s="3"/>
      <c r="I139" s="3"/>
      <c r="J139" s="3"/>
      <c r="K139" s="3"/>
      <c r="L139" s="19"/>
      <c r="M139" s="19"/>
      <c r="N139" s="19"/>
      <c r="O139" s="3"/>
      <c r="P139" s="3"/>
      <c r="Q139" s="3"/>
      <c r="R139" s="3"/>
      <c r="T139" s="3"/>
      <c r="U139" s="3"/>
      <c r="V139" s="3"/>
      <c r="W139" s="3"/>
      <c r="X139" s="3"/>
      <c r="Y139" s="3"/>
      <c r="Z139" s="50"/>
      <c r="AD139" s="3"/>
      <c r="AE139" s="3"/>
      <c r="AF139" s="3"/>
    </row>
    <row r="140" spans="1:32" ht="15.75">
      <c r="A140" s="5"/>
      <c r="B140" s="3"/>
      <c r="C140" s="3"/>
      <c r="D140" s="3"/>
      <c r="E140" s="19"/>
      <c r="F140" s="19"/>
      <c r="G140" s="19"/>
      <c r="H140" s="3"/>
      <c r="I140" s="3"/>
      <c r="J140" s="3"/>
      <c r="K140" s="3"/>
      <c r="L140" s="19"/>
      <c r="M140" s="19"/>
      <c r="N140" s="19"/>
      <c r="O140" s="3"/>
      <c r="P140" s="3"/>
      <c r="Q140" s="3"/>
      <c r="R140" s="3"/>
      <c r="T140" s="3"/>
      <c r="U140" s="3"/>
      <c r="V140" s="3"/>
      <c r="W140" s="3"/>
      <c r="X140" s="3"/>
      <c r="Y140" s="3"/>
      <c r="Z140" s="50"/>
      <c r="AD140" s="3"/>
      <c r="AE140" s="3"/>
      <c r="AF140" s="3"/>
    </row>
    <row r="141" spans="1:32" ht="15.75">
      <c r="A141" s="5"/>
      <c r="B141" s="3"/>
      <c r="C141" s="3"/>
      <c r="D141" s="3"/>
      <c r="E141" s="19"/>
      <c r="F141" s="19"/>
      <c r="G141" s="19"/>
      <c r="H141" s="3"/>
      <c r="I141" s="3"/>
      <c r="J141" s="3"/>
      <c r="K141" s="3"/>
      <c r="L141" s="19"/>
      <c r="M141" s="19"/>
      <c r="N141" s="19"/>
      <c r="O141" s="3"/>
      <c r="P141" s="3"/>
      <c r="Q141" s="3"/>
      <c r="R141" s="3"/>
      <c r="T141" s="3"/>
      <c r="U141" s="3"/>
      <c r="V141" s="3"/>
      <c r="W141" s="3"/>
      <c r="X141" s="3"/>
      <c r="Y141" s="3"/>
      <c r="Z141" s="50"/>
      <c r="AD141" s="3"/>
      <c r="AE141" s="3"/>
      <c r="AF141" s="3"/>
    </row>
    <row r="142" spans="1:32" ht="15.75">
      <c r="A142" s="5"/>
      <c r="B142" s="3"/>
      <c r="C142" s="3"/>
      <c r="D142" s="3"/>
      <c r="E142" s="19"/>
      <c r="F142" s="19"/>
      <c r="G142" s="19"/>
      <c r="H142" s="3"/>
      <c r="I142" s="3"/>
      <c r="J142" s="3"/>
      <c r="K142" s="3"/>
      <c r="L142" s="19"/>
      <c r="M142" s="19"/>
      <c r="N142" s="19"/>
      <c r="O142" s="3"/>
      <c r="P142" s="3"/>
      <c r="Q142" s="3"/>
      <c r="R142" s="3"/>
      <c r="T142" s="3"/>
      <c r="U142" s="3"/>
      <c r="V142" s="3"/>
      <c r="W142" s="3"/>
      <c r="X142" s="3"/>
      <c r="Y142" s="3"/>
      <c r="Z142" s="50"/>
      <c r="AD142" s="3"/>
      <c r="AE142" s="3"/>
      <c r="AF142" s="3"/>
    </row>
    <row r="143" spans="1:32" ht="15.75">
      <c r="A143" s="5"/>
      <c r="B143" s="3"/>
      <c r="C143" s="3"/>
      <c r="D143" s="3"/>
      <c r="E143" s="19"/>
      <c r="F143" s="19"/>
      <c r="G143" s="19"/>
      <c r="H143" s="3"/>
      <c r="I143" s="3"/>
      <c r="J143" s="3"/>
      <c r="K143" s="3"/>
      <c r="L143" s="19"/>
      <c r="M143" s="19"/>
      <c r="N143" s="19"/>
      <c r="O143" s="3"/>
      <c r="P143" s="3"/>
      <c r="Q143" s="3"/>
      <c r="R143" s="3"/>
      <c r="T143" s="3"/>
      <c r="U143" s="3"/>
      <c r="V143" s="3"/>
      <c r="W143" s="3"/>
      <c r="X143" s="3"/>
      <c r="Y143" s="3"/>
      <c r="Z143" s="50"/>
      <c r="AD143" s="3"/>
      <c r="AE143" s="3"/>
      <c r="AF143" s="3"/>
    </row>
    <row r="144" spans="1:32" ht="15.75">
      <c r="A144" s="5"/>
      <c r="B144" s="3"/>
      <c r="C144" s="3"/>
      <c r="D144" s="3"/>
      <c r="E144" s="19"/>
      <c r="F144" s="19"/>
      <c r="G144" s="19"/>
      <c r="H144" s="3"/>
      <c r="I144" s="3"/>
      <c r="J144" s="3"/>
      <c r="K144" s="3"/>
      <c r="L144" s="19"/>
      <c r="M144" s="19"/>
      <c r="N144" s="19"/>
      <c r="O144" s="3"/>
      <c r="P144" s="3"/>
      <c r="Q144" s="3"/>
      <c r="R144" s="3"/>
      <c r="T144" s="3"/>
      <c r="U144" s="3"/>
      <c r="V144" s="3"/>
      <c r="W144" s="3"/>
      <c r="X144" s="3"/>
      <c r="Y144" s="3"/>
      <c r="Z144" s="50"/>
      <c r="AD144" s="3"/>
      <c r="AE144" s="3"/>
      <c r="AF144" s="3"/>
    </row>
    <row r="145" spans="1:32" ht="15.75">
      <c r="A145" s="5"/>
      <c r="B145" s="3"/>
      <c r="C145" s="3"/>
      <c r="D145" s="3"/>
      <c r="E145" s="19"/>
      <c r="F145" s="19"/>
      <c r="G145" s="19"/>
      <c r="H145" s="3"/>
      <c r="I145" s="3"/>
      <c r="J145" s="3"/>
      <c r="K145" s="3"/>
      <c r="L145" s="19"/>
      <c r="M145" s="19"/>
      <c r="N145" s="19"/>
      <c r="O145" s="3"/>
      <c r="P145" s="3"/>
      <c r="Q145" s="3"/>
      <c r="R145" s="3"/>
      <c r="T145" s="3"/>
      <c r="U145" s="3"/>
      <c r="V145" s="3"/>
      <c r="W145" s="3"/>
      <c r="X145" s="3"/>
      <c r="Y145" s="3"/>
      <c r="Z145" s="50"/>
      <c r="AD145" s="3"/>
      <c r="AE145" s="3"/>
      <c r="AF145" s="3"/>
    </row>
    <row r="146" spans="1:32" ht="15.75">
      <c r="A146" s="5"/>
      <c r="B146" s="3"/>
      <c r="C146" s="3"/>
      <c r="D146" s="3"/>
      <c r="E146" s="19"/>
      <c r="F146" s="19"/>
      <c r="G146" s="19"/>
      <c r="H146" s="3"/>
      <c r="I146" s="3"/>
      <c r="J146" s="3"/>
      <c r="K146" s="3"/>
      <c r="L146" s="19"/>
      <c r="M146" s="19"/>
      <c r="N146" s="19"/>
      <c r="O146" s="3"/>
      <c r="P146" s="3"/>
      <c r="Q146" s="3"/>
      <c r="R146" s="3"/>
      <c r="T146" s="3"/>
      <c r="U146" s="3"/>
      <c r="V146" s="3"/>
      <c r="W146" s="3"/>
      <c r="X146" s="3"/>
      <c r="Y146" s="3"/>
      <c r="Z146" s="50"/>
      <c r="AD146" s="3"/>
      <c r="AE146" s="3"/>
      <c r="AF146" s="3"/>
    </row>
    <row r="147" spans="1:32" ht="15.75">
      <c r="A147" s="5"/>
      <c r="B147" s="3"/>
      <c r="C147" s="3"/>
      <c r="D147" s="3"/>
      <c r="E147" s="19"/>
      <c r="F147" s="19"/>
      <c r="G147" s="19"/>
      <c r="H147" s="3"/>
      <c r="I147" s="3"/>
      <c r="J147" s="3"/>
      <c r="K147" s="3"/>
      <c r="L147" s="19"/>
      <c r="M147" s="19"/>
      <c r="N147" s="19"/>
      <c r="O147" s="3"/>
      <c r="P147" s="3"/>
      <c r="Q147" s="3"/>
      <c r="R147" s="3"/>
      <c r="T147" s="3"/>
      <c r="U147" s="3"/>
      <c r="V147" s="3"/>
      <c r="W147" s="3"/>
      <c r="X147" s="3"/>
      <c r="Y147" s="3"/>
      <c r="Z147" s="50"/>
      <c r="AD147" s="3"/>
      <c r="AE147" s="3"/>
      <c r="AF147" s="3"/>
    </row>
    <row r="148" spans="1:32" ht="15.75">
      <c r="A148" s="5"/>
      <c r="B148" s="3"/>
      <c r="C148" s="3"/>
      <c r="D148" s="3"/>
      <c r="E148" s="19"/>
      <c r="F148" s="19"/>
      <c r="G148" s="19"/>
      <c r="H148" s="3"/>
      <c r="I148" s="3"/>
      <c r="J148" s="3"/>
      <c r="K148" s="3"/>
      <c r="L148" s="19"/>
      <c r="M148" s="19"/>
      <c r="N148" s="19"/>
      <c r="O148" s="3"/>
      <c r="P148" s="3"/>
      <c r="Q148" s="3"/>
      <c r="R148" s="3"/>
      <c r="T148" s="3"/>
      <c r="U148" s="3"/>
      <c r="V148" s="3"/>
      <c r="W148" s="3"/>
      <c r="X148" s="3"/>
      <c r="Y148" s="3"/>
      <c r="Z148" s="50"/>
      <c r="AD148" s="3"/>
      <c r="AE148" s="3"/>
      <c r="AF148" s="3"/>
    </row>
    <row r="149" spans="1:32" ht="15.75">
      <c r="A149" s="5"/>
      <c r="B149" s="3"/>
      <c r="C149" s="3"/>
      <c r="D149" s="3"/>
      <c r="E149" s="19"/>
      <c r="F149" s="19"/>
      <c r="G149" s="19"/>
      <c r="H149" s="3"/>
      <c r="I149" s="3"/>
      <c r="J149" s="3"/>
      <c r="K149" s="3"/>
      <c r="L149" s="19"/>
      <c r="M149" s="19"/>
      <c r="N149" s="19"/>
      <c r="O149" s="3"/>
      <c r="P149" s="3"/>
      <c r="Q149" s="3"/>
      <c r="R149" s="3"/>
      <c r="T149" s="3"/>
      <c r="U149" s="3"/>
      <c r="V149" s="3"/>
      <c r="W149" s="3"/>
      <c r="X149" s="3"/>
      <c r="Y149" s="3"/>
      <c r="Z149" s="50"/>
      <c r="AD149" s="3"/>
      <c r="AE149" s="3"/>
      <c r="AF149" s="3"/>
    </row>
    <row r="150" spans="1:32" ht="15.75">
      <c r="A150" s="5"/>
      <c r="B150" s="3"/>
      <c r="C150" s="3"/>
      <c r="D150" s="3"/>
      <c r="E150" s="19"/>
      <c r="F150" s="19"/>
      <c r="G150" s="19"/>
      <c r="H150" s="3"/>
      <c r="I150" s="3"/>
      <c r="J150" s="3"/>
      <c r="K150" s="3"/>
      <c r="L150" s="19"/>
      <c r="M150" s="19"/>
      <c r="N150" s="19"/>
      <c r="O150" s="3"/>
      <c r="P150" s="3"/>
      <c r="Q150" s="3"/>
      <c r="R150" s="3"/>
      <c r="T150" s="3"/>
      <c r="U150" s="3"/>
      <c r="V150" s="3"/>
      <c r="W150" s="3"/>
      <c r="X150" s="3"/>
      <c r="Y150" s="3"/>
      <c r="Z150" s="50"/>
      <c r="AD150" s="3"/>
      <c r="AE150" s="3"/>
      <c r="AF150" s="3"/>
    </row>
    <row r="151" spans="1:26" ht="15.75">
      <c r="A151" s="1"/>
      <c r="X151" s="3"/>
      <c r="Y151" s="3"/>
      <c r="Z151" s="50"/>
    </row>
    <row r="152" spans="1:26" ht="15.75">
      <c r="A152" s="1"/>
      <c r="X152" s="3"/>
      <c r="Y152" s="3"/>
      <c r="Z152" s="50"/>
    </row>
    <row r="153" spans="1:26" ht="15.75">
      <c r="A153" s="1"/>
      <c r="X153" s="3"/>
      <c r="Y153" s="3"/>
      <c r="Z153" s="50"/>
    </row>
    <row r="154" spans="1:26" ht="15.75">
      <c r="A154" s="1"/>
      <c r="X154" s="3"/>
      <c r="Y154" s="3"/>
      <c r="Z154" s="50"/>
    </row>
    <row r="155" spans="1:26" ht="15.75">
      <c r="A155" s="1"/>
      <c r="X155" s="3"/>
      <c r="Y155" s="3"/>
      <c r="Z155" s="50"/>
    </row>
    <row r="156" spans="1:26" ht="15.75">
      <c r="A156" s="1"/>
      <c r="X156" s="3"/>
      <c r="Y156" s="3"/>
      <c r="Z156" s="50"/>
    </row>
    <row r="157" spans="1:26" ht="15.75">
      <c r="A157" s="1"/>
      <c r="X157" s="3"/>
      <c r="Y157" s="3"/>
      <c r="Z157" s="50"/>
    </row>
    <row r="158" spans="1:26" ht="15.75">
      <c r="A158" s="1"/>
      <c r="X158" s="3"/>
      <c r="Y158" s="3"/>
      <c r="Z158" s="50"/>
    </row>
    <row r="159" spans="1:26" ht="15.75">
      <c r="A159" s="1"/>
      <c r="X159" s="3"/>
      <c r="Y159" s="3"/>
      <c r="Z159" s="50"/>
    </row>
    <row r="160" spans="1:26" ht="15.75">
      <c r="A160" s="1"/>
      <c r="X160" s="3"/>
      <c r="Y160" s="3"/>
      <c r="Z160" s="50"/>
    </row>
    <row r="161" spans="1:26" ht="15.75">
      <c r="A161" s="1"/>
      <c r="X161" s="3"/>
      <c r="Y161" s="3"/>
      <c r="Z161" s="50"/>
    </row>
    <row r="162" spans="1:26" ht="15.75">
      <c r="A162" s="1"/>
      <c r="X162" s="3"/>
      <c r="Y162" s="3"/>
      <c r="Z162" s="50"/>
    </row>
    <row r="163" spans="1:26" ht="15.75">
      <c r="A163" s="1"/>
      <c r="X163" s="3"/>
      <c r="Y163" s="3"/>
      <c r="Z163" s="50"/>
    </row>
    <row r="164" spans="1:26" ht="15.75">
      <c r="A164" s="1"/>
      <c r="X164" s="3"/>
      <c r="Y164" s="3"/>
      <c r="Z164" s="50"/>
    </row>
    <row r="165" spans="1:26" ht="15.75">
      <c r="A165" s="1"/>
      <c r="X165" s="3"/>
      <c r="Y165" s="3"/>
      <c r="Z165" s="50"/>
    </row>
    <row r="166" spans="1:26" ht="15.75">
      <c r="A166" s="1"/>
      <c r="X166" s="3"/>
      <c r="Y166" s="3"/>
      <c r="Z166" s="50"/>
    </row>
    <row r="167" spans="1:26" ht="15.75">
      <c r="A167" s="1"/>
      <c r="X167" s="3"/>
      <c r="Y167" s="3"/>
      <c r="Z167" s="50"/>
    </row>
    <row r="168" spans="1:26" ht="15.75">
      <c r="A168" s="1"/>
      <c r="X168" s="3"/>
      <c r="Y168" s="3"/>
      <c r="Z168" s="50"/>
    </row>
    <row r="169" spans="1:26" ht="15.75">
      <c r="A169" s="1"/>
      <c r="X169" s="3"/>
      <c r="Y169" s="3"/>
      <c r="Z169" s="50"/>
    </row>
    <row r="170" spans="1:26" ht="15.75">
      <c r="A170" s="1"/>
      <c r="X170" s="3"/>
      <c r="Y170" s="3"/>
      <c r="Z170" s="50"/>
    </row>
    <row r="171" spans="1:26" ht="15.75">
      <c r="A171" s="1"/>
      <c r="X171" s="3"/>
      <c r="Y171" s="3"/>
      <c r="Z171" s="50"/>
    </row>
    <row r="172" spans="1:26" ht="15.75">
      <c r="A172" s="1"/>
      <c r="X172" s="3"/>
      <c r="Y172" s="3"/>
      <c r="Z172" s="50"/>
    </row>
    <row r="173" spans="1:26" ht="15.75">
      <c r="A173" s="1"/>
      <c r="X173" s="3"/>
      <c r="Y173" s="3"/>
      <c r="Z173" s="50"/>
    </row>
    <row r="174" spans="1:26" ht="15.75">
      <c r="A174" s="1"/>
      <c r="X174" s="3"/>
      <c r="Y174" s="3"/>
      <c r="Z174" s="50"/>
    </row>
    <row r="175" spans="1:26" ht="15.75">
      <c r="A175" s="1"/>
      <c r="X175" s="3"/>
      <c r="Y175" s="3"/>
      <c r="Z175" s="50"/>
    </row>
    <row r="176" spans="1:26" ht="15.75">
      <c r="A176" s="1"/>
      <c r="X176" s="3"/>
      <c r="Y176" s="3"/>
      <c r="Z176" s="50"/>
    </row>
    <row r="177" spans="1:26" ht="15.75">
      <c r="A177" s="1"/>
      <c r="X177" s="3"/>
      <c r="Y177" s="3"/>
      <c r="Z177" s="50"/>
    </row>
    <row r="178" spans="1:26" ht="15.75">
      <c r="A178" s="1"/>
      <c r="X178" s="3"/>
      <c r="Y178" s="3"/>
      <c r="Z178" s="50"/>
    </row>
    <row r="179" spans="1:26" ht="15.75">
      <c r="A179" s="1"/>
      <c r="X179" s="3"/>
      <c r="Y179" s="3"/>
      <c r="Z179" s="50"/>
    </row>
    <row r="180" spans="1:26" ht="15.75">
      <c r="A180" s="1"/>
      <c r="X180" s="3"/>
      <c r="Y180" s="3"/>
      <c r="Z180" s="50"/>
    </row>
    <row r="181" spans="1:26" ht="15.75">
      <c r="A181" s="1"/>
      <c r="X181" s="3"/>
      <c r="Y181" s="3"/>
      <c r="Z181" s="50"/>
    </row>
    <row r="182" spans="1:26" ht="15.75">
      <c r="A182" s="1"/>
      <c r="X182" s="3"/>
      <c r="Y182" s="3"/>
      <c r="Z182" s="50"/>
    </row>
    <row r="183" spans="1:26" ht="15.75">
      <c r="A183" s="1"/>
      <c r="X183" s="3"/>
      <c r="Y183" s="3"/>
      <c r="Z183" s="50"/>
    </row>
    <row r="184" spans="1:26" ht="15.75">
      <c r="A184" s="1"/>
      <c r="X184" s="3"/>
      <c r="Y184" s="3"/>
      <c r="Z184" s="50"/>
    </row>
    <row r="185" spans="1:26" ht="15.75">
      <c r="A185" s="1"/>
      <c r="X185" s="3"/>
      <c r="Y185" s="3"/>
      <c r="Z185" s="50"/>
    </row>
    <row r="186" spans="1:26" ht="15.75">
      <c r="A186" s="1"/>
      <c r="X186" s="3"/>
      <c r="Y186" s="3"/>
      <c r="Z186" s="50"/>
    </row>
    <row r="187" spans="1:26" ht="15.75">
      <c r="A187" s="1"/>
      <c r="X187" s="3"/>
      <c r="Y187" s="3"/>
      <c r="Z187" s="50"/>
    </row>
    <row r="188" spans="1:26" ht="15.75">
      <c r="A188" s="1"/>
      <c r="X188" s="3"/>
      <c r="Y188" s="3"/>
      <c r="Z188" s="50"/>
    </row>
    <row r="189" spans="1:26" ht="15.75">
      <c r="A189" s="1"/>
      <c r="X189" s="3"/>
      <c r="Y189" s="3"/>
      <c r="Z189" s="50"/>
    </row>
    <row r="190" spans="1:26" ht="15.75">
      <c r="A190" s="1"/>
      <c r="X190" s="3"/>
      <c r="Y190" s="3"/>
      <c r="Z190" s="50"/>
    </row>
    <row r="191" spans="1:26" ht="15.75">
      <c r="A191" s="1"/>
      <c r="X191" s="3"/>
      <c r="Y191" s="3"/>
      <c r="Z191" s="50"/>
    </row>
    <row r="192" spans="1:26" ht="15.75">
      <c r="A192" s="1"/>
      <c r="X192" s="3"/>
      <c r="Y192" s="3"/>
      <c r="Z192" s="50"/>
    </row>
    <row r="193" spans="1:26" ht="15.75">
      <c r="A193" s="1"/>
      <c r="X193" s="3"/>
      <c r="Y193" s="3"/>
      <c r="Z193" s="50"/>
    </row>
    <row r="194" spans="1:26" ht="15.75">
      <c r="A194" s="1"/>
      <c r="X194" s="3"/>
      <c r="Y194" s="3"/>
      <c r="Z194" s="50"/>
    </row>
    <row r="195" spans="1:26" ht="15.75">
      <c r="A195" s="1"/>
      <c r="X195" s="3"/>
      <c r="Y195" s="3"/>
      <c r="Z195" s="50"/>
    </row>
    <row r="196" spans="1:26" ht="15.75">
      <c r="A196" s="1"/>
      <c r="X196" s="3"/>
      <c r="Y196" s="3"/>
      <c r="Z196" s="50"/>
    </row>
    <row r="197" spans="1:26" ht="15.75">
      <c r="A197" s="1"/>
      <c r="X197" s="3"/>
      <c r="Y197" s="3"/>
      <c r="Z197" s="50"/>
    </row>
    <row r="198" spans="1:26" ht="15.75">
      <c r="A198" s="1"/>
      <c r="X198" s="3"/>
      <c r="Y198" s="3"/>
      <c r="Z198" s="50"/>
    </row>
    <row r="199" spans="1:26" ht="15.75">
      <c r="A199" s="1"/>
      <c r="X199" s="3"/>
      <c r="Y199" s="3"/>
      <c r="Z199" s="50"/>
    </row>
    <row r="200" spans="1:26" ht="15.75">
      <c r="A200" s="1"/>
      <c r="X200" s="3"/>
      <c r="Y200" s="3"/>
      <c r="Z200" s="50"/>
    </row>
    <row r="201" spans="1:26" ht="15.75">
      <c r="A201" s="1"/>
      <c r="X201" s="3"/>
      <c r="Y201" s="3"/>
      <c r="Z201" s="50"/>
    </row>
    <row r="202" spans="1:26" ht="15.75">
      <c r="A202" s="1"/>
      <c r="X202" s="3"/>
      <c r="Y202" s="3"/>
      <c r="Z202" s="50"/>
    </row>
    <row r="203" spans="1:26" ht="15.75">
      <c r="A203" s="1"/>
      <c r="X203" s="3"/>
      <c r="Y203" s="3"/>
      <c r="Z203" s="50"/>
    </row>
    <row r="204" spans="1:26" ht="15.75">
      <c r="A204" s="1"/>
      <c r="X204" s="3"/>
      <c r="Y204" s="3"/>
      <c r="Z204" s="50"/>
    </row>
    <row r="205" spans="1:26" ht="15.75">
      <c r="A205" s="1"/>
      <c r="X205" s="3"/>
      <c r="Y205" s="3"/>
      <c r="Z205" s="50"/>
    </row>
    <row r="206" spans="1:26" ht="15.75">
      <c r="A206" s="1"/>
      <c r="X206" s="3"/>
      <c r="Y206" s="3"/>
      <c r="Z206" s="50"/>
    </row>
    <row r="207" spans="1:26" ht="15.75">
      <c r="A207" s="1"/>
      <c r="X207" s="3"/>
      <c r="Y207" s="3"/>
      <c r="Z207" s="50"/>
    </row>
    <row r="208" spans="1:26" ht="15.75">
      <c r="A208" s="1"/>
      <c r="X208" s="3"/>
      <c r="Y208" s="3"/>
      <c r="Z208" s="50"/>
    </row>
    <row r="209" spans="1:26" ht="15.75">
      <c r="A209" s="1"/>
      <c r="X209" s="3"/>
      <c r="Y209" s="3"/>
      <c r="Z209" s="50"/>
    </row>
    <row r="210" spans="1:26" ht="15.75">
      <c r="A210" s="1"/>
      <c r="X210" s="3"/>
      <c r="Y210" s="3"/>
      <c r="Z210" s="50"/>
    </row>
    <row r="211" spans="1:26" ht="15.75">
      <c r="A211" s="1"/>
      <c r="X211" s="3"/>
      <c r="Y211" s="3"/>
      <c r="Z211" s="50"/>
    </row>
    <row r="212" spans="1:26" ht="15.75">
      <c r="A212" s="1"/>
      <c r="X212" s="3"/>
      <c r="Y212" s="3"/>
      <c r="Z212" s="50"/>
    </row>
    <row r="213" spans="1:26" ht="15.75">
      <c r="A213" s="1"/>
      <c r="X213" s="3"/>
      <c r="Y213" s="3"/>
      <c r="Z213" s="50"/>
    </row>
    <row r="214" spans="1:26" ht="15.75">
      <c r="A214" s="1"/>
      <c r="X214" s="3"/>
      <c r="Y214" s="3"/>
      <c r="Z214" s="50"/>
    </row>
    <row r="215" spans="1:26" ht="15.75">
      <c r="A215" s="1"/>
      <c r="X215" s="3"/>
      <c r="Y215" s="3"/>
      <c r="Z215" s="50"/>
    </row>
    <row r="216" spans="1:26" ht="15.75">
      <c r="A216" s="1"/>
      <c r="X216" s="3"/>
      <c r="Y216" s="3"/>
      <c r="Z216" s="50"/>
    </row>
    <row r="217" spans="1:26" ht="15.75">
      <c r="A217" s="1"/>
      <c r="X217" s="3"/>
      <c r="Y217" s="3"/>
      <c r="Z217" s="50"/>
    </row>
    <row r="218" spans="1:26" ht="15.75">
      <c r="A218" s="1"/>
      <c r="X218" s="3"/>
      <c r="Y218" s="3"/>
      <c r="Z218" s="50"/>
    </row>
    <row r="219" spans="1:26" ht="15.75">
      <c r="A219" s="1"/>
      <c r="X219" s="3"/>
      <c r="Y219" s="3"/>
      <c r="Z219" s="50"/>
    </row>
    <row r="220" spans="1:26" ht="15.75">
      <c r="A220" s="1"/>
      <c r="X220" s="3"/>
      <c r="Y220" s="3"/>
      <c r="Z220" s="50"/>
    </row>
    <row r="221" spans="1:26" ht="15.75">
      <c r="A221" s="1"/>
      <c r="X221" s="3"/>
      <c r="Y221" s="3"/>
      <c r="Z221" s="50"/>
    </row>
    <row r="222" spans="1:26" ht="15.75">
      <c r="A222" s="1"/>
      <c r="X222" s="3"/>
      <c r="Y222" s="3"/>
      <c r="Z222" s="50"/>
    </row>
    <row r="223" spans="1:26" ht="15.75">
      <c r="A223" s="1"/>
      <c r="X223" s="3"/>
      <c r="Y223" s="3"/>
      <c r="Z223" s="50"/>
    </row>
    <row r="224" spans="1:26" ht="15.75">
      <c r="A224" s="1"/>
      <c r="X224" s="3"/>
      <c r="Y224" s="3"/>
      <c r="Z224" s="50"/>
    </row>
    <row r="225" spans="1:26" ht="15.75">
      <c r="A225" s="1"/>
      <c r="X225" s="3"/>
      <c r="Y225" s="3"/>
      <c r="Z225" s="50"/>
    </row>
    <row r="226" spans="1:26" ht="15.75">
      <c r="A226" s="1"/>
      <c r="X226" s="3"/>
      <c r="Y226" s="3"/>
      <c r="Z226" s="50"/>
    </row>
    <row r="227" spans="1:26" ht="15.75">
      <c r="A227" s="1"/>
      <c r="X227" s="3"/>
      <c r="Y227" s="3"/>
      <c r="Z227" s="50"/>
    </row>
    <row r="228" spans="1:26" ht="15.75">
      <c r="A228" s="1"/>
      <c r="X228" s="3"/>
      <c r="Y228" s="3"/>
      <c r="Z228" s="50"/>
    </row>
    <row r="229" spans="1:26" ht="15.75">
      <c r="A229" s="1"/>
      <c r="X229" s="3"/>
      <c r="Y229" s="3"/>
      <c r="Z229" s="50"/>
    </row>
    <row r="230" spans="1:26" ht="15.75">
      <c r="A230" s="1"/>
      <c r="X230" s="3"/>
      <c r="Y230" s="3"/>
      <c r="Z230" s="50"/>
    </row>
    <row r="231" spans="1:26" ht="15.75">
      <c r="A231" s="1"/>
      <c r="X231" s="3"/>
      <c r="Y231" s="3"/>
      <c r="Z231" s="50"/>
    </row>
    <row r="232" spans="1:26" ht="15.75">
      <c r="A232" s="1"/>
      <c r="X232" s="3"/>
      <c r="Y232" s="3"/>
      <c r="Z232" s="50"/>
    </row>
    <row r="233" spans="1:26" ht="15.75">
      <c r="A233" s="1"/>
      <c r="X233" s="3"/>
      <c r="Y233" s="3"/>
      <c r="Z233" s="50"/>
    </row>
    <row r="234" spans="1:26" ht="15.75">
      <c r="A234" s="1"/>
      <c r="X234" s="3"/>
      <c r="Y234" s="3"/>
      <c r="Z234" s="50"/>
    </row>
    <row r="235" spans="1:26" ht="15.75">
      <c r="A235" s="1"/>
      <c r="X235" s="3"/>
      <c r="Y235" s="3"/>
      <c r="Z235" s="50"/>
    </row>
    <row r="236" spans="1:26" ht="15.75">
      <c r="A236" s="1"/>
      <c r="X236" s="3"/>
      <c r="Y236" s="3"/>
      <c r="Z236" s="50"/>
    </row>
    <row r="237" spans="1:26" ht="15.75">
      <c r="A237" s="1"/>
      <c r="X237" s="3"/>
      <c r="Y237" s="3"/>
      <c r="Z237" s="50"/>
    </row>
    <row r="238" spans="1:26" ht="15.75">
      <c r="A238" s="1"/>
      <c r="X238" s="3"/>
      <c r="Y238" s="3"/>
      <c r="Z238" s="50"/>
    </row>
    <row r="239" spans="1:26" ht="15.75">
      <c r="A239" s="1"/>
      <c r="X239" s="3"/>
      <c r="Y239" s="3"/>
      <c r="Z239" s="50"/>
    </row>
    <row r="240" spans="1:26" ht="15.75">
      <c r="A240" s="1"/>
      <c r="X240" s="3"/>
      <c r="Y240" s="3"/>
      <c r="Z240" s="50"/>
    </row>
    <row r="241" spans="1:26" ht="15.75">
      <c r="A241" s="1"/>
      <c r="X241" s="3"/>
      <c r="Y241" s="3"/>
      <c r="Z241" s="50"/>
    </row>
    <row r="242" spans="1:26" ht="15.75">
      <c r="A242" s="1"/>
      <c r="X242" s="3"/>
      <c r="Y242" s="3"/>
      <c r="Z242" s="50"/>
    </row>
    <row r="243" spans="1:26" ht="15.75">
      <c r="A243" s="1"/>
      <c r="X243" s="3"/>
      <c r="Y243" s="3"/>
      <c r="Z243" s="50"/>
    </row>
    <row r="244" spans="1:26" ht="15.75">
      <c r="A244" s="1"/>
      <c r="X244" s="3"/>
      <c r="Y244" s="3"/>
      <c r="Z244" s="50"/>
    </row>
    <row r="245" spans="1:26" ht="15.75">
      <c r="A245" s="1"/>
      <c r="X245" s="3"/>
      <c r="Y245" s="3"/>
      <c r="Z245" s="50"/>
    </row>
    <row r="246" spans="1:26" ht="15.75">
      <c r="A246" s="1"/>
      <c r="X246" s="3"/>
      <c r="Y246" s="3"/>
      <c r="Z246" s="50"/>
    </row>
    <row r="247" spans="1:26" ht="15.75">
      <c r="A247" s="1"/>
      <c r="X247" s="3"/>
      <c r="Y247" s="3"/>
      <c r="Z247" s="50"/>
    </row>
    <row r="248" spans="1:26" ht="15.75">
      <c r="A248" s="1"/>
      <c r="X248" s="3"/>
      <c r="Y248" s="3"/>
      <c r="Z248" s="50"/>
    </row>
    <row r="249" spans="1:26" ht="15.75">
      <c r="A249" s="1"/>
      <c r="X249" s="3"/>
      <c r="Y249" s="3"/>
      <c r="Z249" s="50"/>
    </row>
    <row r="250" spans="1:26" ht="15.75">
      <c r="A250" s="1"/>
      <c r="X250" s="3"/>
      <c r="Y250" s="3"/>
      <c r="Z250" s="50"/>
    </row>
    <row r="251" spans="1:26" ht="15.75">
      <c r="A251" s="1"/>
      <c r="X251" s="3"/>
      <c r="Y251" s="3"/>
      <c r="Z251" s="50"/>
    </row>
    <row r="252" spans="1:26" ht="15.75">
      <c r="A252" s="1"/>
      <c r="X252" s="3"/>
      <c r="Y252" s="3"/>
      <c r="Z252" s="50"/>
    </row>
    <row r="253" spans="1:26" ht="15.75">
      <c r="A253" s="1"/>
      <c r="X253" s="3"/>
      <c r="Y253" s="3"/>
      <c r="Z253" s="50"/>
    </row>
    <row r="254" spans="1:26" ht="15.75">
      <c r="A254" s="1"/>
      <c r="X254" s="3"/>
      <c r="Y254" s="3"/>
      <c r="Z254" s="50"/>
    </row>
    <row r="255" spans="1:26" ht="15.75">
      <c r="A255" s="1"/>
      <c r="X255" s="3"/>
      <c r="Y255" s="3"/>
      <c r="Z255" s="50"/>
    </row>
    <row r="256" spans="1:26" ht="15.75">
      <c r="A256" s="1"/>
      <c r="X256" s="3"/>
      <c r="Y256" s="3"/>
      <c r="Z256" s="50"/>
    </row>
    <row r="257" spans="1:26" ht="15.75">
      <c r="A257" s="1"/>
      <c r="X257" s="3"/>
      <c r="Y257" s="3"/>
      <c r="Z257" s="50"/>
    </row>
    <row r="258" spans="1:26" ht="15.75">
      <c r="A258" s="1"/>
      <c r="X258" s="3"/>
      <c r="Y258" s="3"/>
      <c r="Z258" s="50"/>
    </row>
    <row r="259" spans="1:26" ht="15.75">
      <c r="A259" s="1"/>
      <c r="X259" s="3"/>
      <c r="Y259" s="3"/>
      <c r="Z259" s="50"/>
    </row>
    <row r="260" spans="1:26" ht="15.75">
      <c r="A260" s="1"/>
      <c r="X260" s="3"/>
      <c r="Y260" s="3"/>
      <c r="Z260" s="50"/>
    </row>
    <row r="261" spans="1:26" ht="15.75">
      <c r="A261" s="1"/>
      <c r="X261" s="3"/>
      <c r="Y261" s="3"/>
      <c r="Z261" s="50"/>
    </row>
    <row r="262" spans="1:26" ht="15.75">
      <c r="A262" s="1"/>
      <c r="X262" s="3"/>
      <c r="Y262" s="3"/>
      <c r="Z262" s="50"/>
    </row>
    <row r="263" spans="1:26" ht="15.75">
      <c r="A263" s="1"/>
      <c r="X263" s="3"/>
      <c r="Y263" s="3"/>
      <c r="Z263" s="50"/>
    </row>
    <row r="264" spans="1:26" ht="15.75">
      <c r="A264" s="1"/>
      <c r="X264" s="3"/>
      <c r="Y264" s="3"/>
      <c r="Z264" s="50"/>
    </row>
    <row r="265" spans="1:26" ht="15.75">
      <c r="A265" s="1"/>
      <c r="X265" s="3"/>
      <c r="Y265" s="3"/>
      <c r="Z265" s="50"/>
    </row>
    <row r="266" spans="1:26" ht="15.75">
      <c r="A266" s="1"/>
      <c r="X266" s="3"/>
      <c r="Y266" s="3"/>
      <c r="Z266" s="50"/>
    </row>
    <row r="267" spans="1:26" ht="15.75">
      <c r="A267" s="1"/>
      <c r="X267" s="3"/>
      <c r="Y267" s="3"/>
      <c r="Z267" s="50"/>
    </row>
    <row r="268" spans="1:26" ht="15.75">
      <c r="A268" s="1"/>
      <c r="X268" s="3"/>
      <c r="Y268" s="3"/>
      <c r="Z268" s="50"/>
    </row>
    <row r="269" spans="1:26" ht="15.75">
      <c r="A269" s="1"/>
      <c r="X269" s="3"/>
      <c r="Y269" s="3"/>
      <c r="Z269" s="50"/>
    </row>
    <row r="270" spans="1:26" ht="15.75">
      <c r="A270" s="1"/>
      <c r="X270" s="3"/>
      <c r="Y270" s="3"/>
      <c r="Z270" s="50"/>
    </row>
    <row r="271" spans="1:26" ht="15.75">
      <c r="A271" s="1"/>
      <c r="X271" s="3"/>
      <c r="Y271" s="3"/>
      <c r="Z271" s="50"/>
    </row>
    <row r="272" spans="1:26" ht="15.75">
      <c r="A272" s="1"/>
      <c r="X272" s="3"/>
      <c r="Y272" s="3"/>
      <c r="Z272" s="50"/>
    </row>
    <row r="273" spans="1:26" ht="15.75">
      <c r="A273" s="1"/>
      <c r="X273" s="3"/>
      <c r="Y273" s="3"/>
      <c r="Z273" s="50"/>
    </row>
    <row r="274" spans="1:26" ht="15.75">
      <c r="A274" s="1"/>
      <c r="X274" s="3"/>
      <c r="Y274" s="3"/>
      <c r="Z274" s="50"/>
    </row>
    <row r="275" spans="1:26" ht="15.75">
      <c r="A275" s="1"/>
      <c r="X275" s="3"/>
      <c r="Y275" s="3"/>
      <c r="Z275" s="50"/>
    </row>
    <row r="276" spans="1:26" ht="15.75">
      <c r="A276" s="1"/>
      <c r="X276" s="3"/>
      <c r="Y276" s="3"/>
      <c r="Z276" s="50"/>
    </row>
    <row r="277" spans="1:26" ht="15.75">
      <c r="A277" s="1"/>
      <c r="X277" s="3"/>
      <c r="Y277" s="3"/>
      <c r="Z277" s="50"/>
    </row>
    <row r="278" spans="1:26" ht="15.75">
      <c r="A278" s="1"/>
      <c r="X278" s="3"/>
      <c r="Y278" s="3"/>
      <c r="Z278" s="50"/>
    </row>
    <row r="279" spans="1:26" ht="15.75">
      <c r="A279" s="1"/>
      <c r="X279" s="3"/>
      <c r="Y279" s="3"/>
      <c r="Z279" s="50"/>
    </row>
    <row r="280" spans="1:26" ht="15.75">
      <c r="A280" s="1"/>
      <c r="X280" s="3"/>
      <c r="Y280" s="3"/>
      <c r="Z280" s="50"/>
    </row>
    <row r="281" spans="1:26" ht="15.75">
      <c r="A281" s="1"/>
      <c r="X281" s="3"/>
      <c r="Y281" s="3"/>
      <c r="Z281" s="50"/>
    </row>
    <row r="282" spans="1:26" ht="15.75">
      <c r="A282" s="1"/>
      <c r="X282" s="3"/>
      <c r="Y282" s="3"/>
      <c r="Z282" s="50"/>
    </row>
    <row r="283" spans="1:26" ht="15.75">
      <c r="A283" s="1"/>
      <c r="X283" s="3"/>
      <c r="Y283" s="3"/>
      <c r="Z283" s="50"/>
    </row>
    <row r="284" spans="1:26" ht="15.75">
      <c r="A284" s="1"/>
      <c r="X284" s="3"/>
      <c r="Y284" s="3"/>
      <c r="Z284" s="50"/>
    </row>
    <row r="285" spans="1:26" ht="15.75">
      <c r="A285" s="1"/>
      <c r="X285" s="3"/>
      <c r="Y285" s="3"/>
      <c r="Z285" s="50"/>
    </row>
    <row r="286" spans="1:26" ht="15.75">
      <c r="A286" s="1"/>
      <c r="X286" s="3"/>
      <c r="Y286" s="3"/>
      <c r="Z286" s="50"/>
    </row>
    <row r="287" spans="1:26" ht="15.75">
      <c r="A287" s="1"/>
      <c r="X287" s="3"/>
      <c r="Y287" s="3"/>
      <c r="Z287" s="50"/>
    </row>
    <row r="288" spans="1:26" ht="15.75">
      <c r="A288" s="1"/>
      <c r="X288" s="3"/>
      <c r="Y288" s="3"/>
      <c r="Z288" s="50"/>
    </row>
    <row r="289" spans="1:26" ht="15.75">
      <c r="A289" s="1"/>
      <c r="X289" s="3"/>
      <c r="Y289" s="3"/>
      <c r="Z289" s="50"/>
    </row>
    <row r="290" spans="1:26" ht="15.75">
      <c r="A290" s="1"/>
      <c r="X290" s="3"/>
      <c r="Y290" s="3"/>
      <c r="Z290" s="50"/>
    </row>
    <row r="291" spans="1:26" ht="15.75">
      <c r="A291" s="1"/>
      <c r="X291" s="3"/>
      <c r="Y291" s="3"/>
      <c r="Z291" s="50"/>
    </row>
    <row r="292" spans="1:26" ht="15.75">
      <c r="A292" s="1"/>
      <c r="X292" s="3"/>
      <c r="Y292" s="3"/>
      <c r="Z292" s="50"/>
    </row>
    <row r="293" spans="1:26" ht="15.75">
      <c r="A293" s="1"/>
      <c r="X293" s="3"/>
      <c r="Y293" s="3"/>
      <c r="Z293" s="50"/>
    </row>
    <row r="294" spans="1:26" ht="15.75">
      <c r="A294" s="1"/>
      <c r="X294" s="3"/>
      <c r="Y294" s="3"/>
      <c r="Z294" s="50"/>
    </row>
    <row r="295" spans="1:26" ht="15.75">
      <c r="A295" s="1"/>
      <c r="X295" s="3"/>
      <c r="Y295" s="3"/>
      <c r="Z295" s="50"/>
    </row>
    <row r="296" spans="1:26" ht="15.75">
      <c r="A296" s="1"/>
      <c r="X296" s="3"/>
      <c r="Y296" s="3"/>
      <c r="Z296" s="50"/>
    </row>
    <row r="297" spans="1:26" ht="15.75">
      <c r="A297" s="1"/>
      <c r="X297" s="3"/>
      <c r="Y297" s="3"/>
      <c r="Z297" s="50"/>
    </row>
    <row r="298" spans="1:26" ht="15.75">
      <c r="A298" s="1"/>
      <c r="X298" s="3"/>
      <c r="Y298" s="3"/>
      <c r="Z298" s="50"/>
    </row>
    <row r="299" spans="1:26" ht="15.75">
      <c r="A299" s="1"/>
      <c r="X299" s="3"/>
      <c r="Y299" s="3"/>
      <c r="Z299" s="50"/>
    </row>
    <row r="300" spans="1:26" ht="15.75">
      <c r="A300" s="1"/>
      <c r="X300" s="3"/>
      <c r="Y300" s="3"/>
      <c r="Z300" s="50"/>
    </row>
    <row r="301" spans="1:26" ht="15.75">
      <c r="A301" s="1"/>
      <c r="X301" s="3"/>
      <c r="Y301" s="3"/>
      <c r="Z301" s="50"/>
    </row>
    <row r="302" spans="1:26" ht="15.75">
      <c r="A302" s="1"/>
      <c r="X302" s="3"/>
      <c r="Y302" s="3"/>
      <c r="Z302" s="50"/>
    </row>
    <row r="303" spans="1:26" ht="15.75">
      <c r="A303" s="1"/>
      <c r="X303" s="3"/>
      <c r="Y303" s="3"/>
      <c r="Z303" s="50"/>
    </row>
    <row r="304" spans="1:26" ht="15.75">
      <c r="A304" s="1"/>
      <c r="X304" s="3"/>
      <c r="Y304" s="3"/>
      <c r="Z304" s="50"/>
    </row>
    <row r="305" spans="1:26" ht="15.75">
      <c r="A305" s="1"/>
      <c r="X305" s="3"/>
      <c r="Y305" s="3"/>
      <c r="Z305" s="50"/>
    </row>
    <row r="306" spans="1:26" ht="15.75">
      <c r="A306" s="1"/>
      <c r="X306" s="3"/>
      <c r="Y306" s="3"/>
      <c r="Z306" s="50"/>
    </row>
    <row r="307" spans="1:26" ht="15.75">
      <c r="A307" s="1"/>
      <c r="X307" s="3"/>
      <c r="Y307" s="3"/>
      <c r="Z307" s="50"/>
    </row>
    <row r="308" spans="1:26" ht="15.75">
      <c r="A308" s="1"/>
      <c r="X308" s="3"/>
      <c r="Y308" s="3"/>
      <c r="Z308" s="50"/>
    </row>
    <row r="309" spans="1:26" ht="15.75">
      <c r="A309" s="1"/>
      <c r="X309" s="3"/>
      <c r="Y309" s="3"/>
      <c r="Z309" s="50"/>
    </row>
    <row r="310" spans="1:26" ht="15.75">
      <c r="A310" s="1"/>
      <c r="X310" s="3"/>
      <c r="Y310" s="3"/>
      <c r="Z310" s="50"/>
    </row>
    <row r="311" spans="1:26" ht="15.75">
      <c r="A311" s="1"/>
      <c r="X311" s="3"/>
      <c r="Y311" s="3"/>
      <c r="Z311" s="50"/>
    </row>
    <row r="312" spans="1:26" ht="15.75">
      <c r="A312" s="1"/>
      <c r="X312" s="3"/>
      <c r="Y312" s="3"/>
      <c r="Z312" s="50"/>
    </row>
    <row r="313" spans="1:26" ht="15.75">
      <c r="A313" s="1"/>
      <c r="X313" s="3"/>
      <c r="Y313" s="3"/>
      <c r="Z313" s="50"/>
    </row>
    <row r="314" spans="1:26" ht="15.75">
      <c r="A314" s="1"/>
      <c r="X314" s="3"/>
      <c r="Y314" s="3"/>
      <c r="Z314" s="50"/>
    </row>
    <row r="315" spans="1:26" ht="15.75">
      <c r="A315" s="1"/>
      <c r="X315" s="3"/>
      <c r="Y315" s="3"/>
      <c r="Z315" s="50"/>
    </row>
    <row r="316" spans="1:26" ht="15.75">
      <c r="A316" s="1"/>
      <c r="X316" s="3"/>
      <c r="Y316" s="3"/>
      <c r="Z316" s="50"/>
    </row>
    <row r="317" spans="1:26" ht="15.75">
      <c r="A317" s="1"/>
      <c r="X317" s="3"/>
      <c r="Y317" s="3"/>
      <c r="Z317" s="50"/>
    </row>
    <row r="318" spans="1:26" ht="15.75">
      <c r="A318" s="1"/>
      <c r="X318" s="3"/>
      <c r="Y318" s="3"/>
      <c r="Z318" s="50"/>
    </row>
    <row r="319" spans="1:26" ht="15.75">
      <c r="A319" s="1"/>
      <c r="X319" s="3"/>
      <c r="Y319" s="3"/>
      <c r="Z319" s="50"/>
    </row>
    <row r="320" spans="1:26" ht="15.75">
      <c r="A320" s="1"/>
      <c r="X320" s="3"/>
      <c r="Y320" s="3"/>
      <c r="Z320" s="50"/>
    </row>
    <row r="321" spans="1:26" ht="15.75">
      <c r="A321" s="1"/>
      <c r="X321" s="3"/>
      <c r="Y321" s="3"/>
      <c r="Z321" s="50"/>
    </row>
    <row r="322" spans="1:26" ht="15.75">
      <c r="A322" s="1"/>
      <c r="X322" s="3"/>
      <c r="Y322" s="3"/>
      <c r="Z322" s="50"/>
    </row>
    <row r="323" spans="1:26" ht="15.75">
      <c r="A323" s="1"/>
      <c r="X323" s="3"/>
      <c r="Y323" s="3"/>
      <c r="Z323" s="50"/>
    </row>
    <row r="324" spans="1:26" ht="15.75">
      <c r="A324" s="1"/>
      <c r="X324" s="3"/>
      <c r="Y324" s="3"/>
      <c r="Z324" s="50"/>
    </row>
    <row r="325" spans="1:26" ht="15.75">
      <c r="A325" s="1"/>
      <c r="X325" s="3"/>
      <c r="Y325" s="3"/>
      <c r="Z325" s="50"/>
    </row>
    <row r="326" spans="1:26" ht="15.75">
      <c r="A326" s="1"/>
      <c r="X326" s="3"/>
      <c r="Y326" s="3"/>
      <c r="Z326" s="50"/>
    </row>
    <row r="327" spans="1:26" ht="15.75">
      <c r="A327" s="1"/>
      <c r="X327" s="3"/>
      <c r="Y327" s="3"/>
      <c r="Z327" s="50"/>
    </row>
    <row r="328" spans="1:26" ht="15.75">
      <c r="A328" s="1"/>
      <c r="X328" s="3"/>
      <c r="Y328" s="3"/>
      <c r="Z328" s="50"/>
    </row>
    <row r="329" spans="1:26" ht="15.75">
      <c r="A329" s="1"/>
      <c r="X329" s="3"/>
      <c r="Y329" s="3"/>
      <c r="Z329" s="50"/>
    </row>
    <row r="330" spans="1:26" ht="15.75">
      <c r="A330" s="1"/>
      <c r="X330" s="3"/>
      <c r="Y330" s="3"/>
      <c r="Z330" s="50"/>
    </row>
    <row r="331" spans="1:26" ht="15.75">
      <c r="A331" s="1"/>
      <c r="X331" s="3"/>
      <c r="Y331" s="3"/>
      <c r="Z331" s="50"/>
    </row>
    <row r="332" spans="1:26" ht="15.75">
      <c r="A332" s="1"/>
      <c r="X332" s="3"/>
      <c r="Y332" s="3"/>
      <c r="Z332" s="50"/>
    </row>
    <row r="333" spans="1:26" ht="15.75">
      <c r="A333" s="1"/>
      <c r="X333" s="3"/>
      <c r="Y333" s="3"/>
      <c r="Z333" s="50"/>
    </row>
    <row r="334" spans="1:26" ht="15.75">
      <c r="A334" s="1"/>
      <c r="X334" s="3"/>
      <c r="Y334" s="3"/>
      <c r="Z334" s="50"/>
    </row>
    <row r="335" spans="1:26" ht="15.75">
      <c r="A335" s="1"/>
      <c r="X335" s="3"/>
      <c r="Y335" s="3"/>
      <c r="Z335" s="50"/>
    </row>
    <row r="336" spans="1:26" ht="15.75">
      <c r="A336" s="1"/>
      <c r="X336" s="3"/>
      <c r="Y336" s="3"/>
      <c r="Z336" s="50"/>
    </row>
    <row r="337" spans="1:26" ht="15.75">
      <c r="A337" s="1"/>
      <c r="X337" s="3"/>
      <c r="Y337" s="3"/>
      <c r="Z337" s="50"/>
    </row>
    <row r="338" spans="1:26" ht="15.75">
      <c r="A338" s="1"/>
      <c r="X338" s="3"/>
      <c r="Y338" s="3"/>
      <c r="Z338" s="50"/>
    </row>
    <row r="339" spans="1:26" ht="15.75">
      <c r="A339" s="1"/>
      <c r="X339" s="3"/>
      <c r="Y339" s="3"/>
      <c r="Z339" s="50"/>
    </row>
    <row r="340" spans="1:26" ht="15.75">
      <c r="A340" s="1"/>
      <c r="X340" s="3"/>
      <c r="Y340" s="3"/>
      <c r="Z340" s="50"/>
    </row>
    <row r="341" spans="1:26" ht="15.75">
      <c r="A341" s="1"/>
      <c r="X341" s="3"/>
      <c r="Y341" s="3"/>
      <c r="Z341" s="50"/>
    </row>
    <row r="342" spans="1:26" ht="15.75">
      <c r="A342" s="1"/>
      <c r="X342" s="3"/>
      <c r="Y342" s="3"/>
      <c r="Z342" s="50"/>
    </row>
    <row r="343" spans="1:26" ht="15.75">
      <c r="A343" s="1"/>
      <c r="X343" s="3"/>
      <c r="Y343" s="3"/>
      <c r="Z343" s="50"/>
    </row>
    <row r="344" spans="1:26" ht="15.75">
      <c r="A344" s="1"/>
      <c r="X344" s="3"/>
      <c r="Y344" s="3"/>
      <c r="Z344" s="50"/>
    </row>
    <row r="345" spans="1:26" ht="15.75">
      <c r="A345" s="1"/>
      <c r="X345" s="3"/>
      <c r="Y345" s="3"/>
      <c r="Z345" s="50"/>
    </row>
    <row r="346" spans="1:26" ht="15.75">
      <c r="A346" s="1"/>
      <c r="X346" s="3"/>
      <c r="Y346" s="3"/>
      <c r="Z346" s="50"/>
    </row>
    <row r="347" spans="1:26" ht="15.75">
      <c r="A347" s="1"/>
      <c r="X347" s="3"/>
      <c r="Y347" s="3"/>
      <c r="Z347" s="50"/>
    </row>
    <row r="348" spans="1:26" ht="15.75">
      <c r="A348" s="1"/>
      <c r="X348" s="3"/>
      <c r="Y348" s="3"/>
      <c r="Z348" s="50"/>
    </row>
    <row r="349" spans="1:26" ht="15.75">
      <c r="A349" s="1"/>
      <c r="X349" s="3"/>
      <c r="Y349" s="3"/>
      <c r="Z349" s="50"/>
    </row>
    <row r="350" spans="1:26" ht="15.75">
      <c r="A350" s="1"/>
      <c r="X350" s="3"/>
      <c r="Y350" s="3"/>
      <c r="Z350" s="50"/>
    </row>
    <row r="351" spans="1:26" ht="15.75">
      <c r="A351" s="1"/>
      <c r="X351" s="3"/>
      <c r="Y351" s="3"/>
      <c r="Z351" s="50"/>
    </row>
    <row r="352" spans="1:26" ht="15.75">
      <c r="A352" s="1"/>
      <c r="X352" s="3"/>
      <c r="Y352" s="3"/>
      <c r="Z352" s="50"/>
    </row>
    <row r="353" spans="1:26" ht="15.75">
      <c r="A353" s="1"/>
      <c r="X353" s="3"/>
      <c r="Y353" s="3"/>
      <c r="Z353" s="50"/>
    </row>
    <row r="354" spans="1:26" ht="15.75">
      <c r="A354" s="1"/>
      <c r="X354" s="3"/>
      <c r="Y354" s="3"/>
      <c r="Z354" s="50"/>
    </row>
    <row r="355" spans="1:26" ht="15.75">
      <c r="A355" s="1"/>
      <c r="X355" s="3"/>
      <c r="Y355" s="3"/>
      <c r="Z355" s="50"/>
    </row>
    <row r="356" spans="1:26" ht="15.75">
      <c r="A356" s="1"/>
      <c r="X356" s="3"/>
      <c r="Y356" s="3"/>
      <c r="Z356" s="50"/>
    </row>
    <row r="357" spans="1:26" ht="15.75">
      <c r="A357" s="1"/>
      <c r="X357" s="3"/>
      <c r="Y357" s="3"/>
      <c r="Z357" s="50"/>
    </row>
    <row r="358" spans="1:26" ht="15.75">
      <c r="A358" s="1"/>
      <c r="X358" s="3"/>
      <c r="Y358" s="3"/>
      <c r="Z358" s="50"/>
    </row>
    <row r="359" spans="1:26" ht="15.75">
      <c r="A359" s="1"/>
      <c r="X359" s="3"/>
      <c r="Y359" s="3"/>
      <c r="Z359" s="50"/>
    </row>
    <row r="360" spans="1:26" ht="15.75">
      <c r="A360" s="1"/>
      <c r="X360" s="3"/>
      <c r="Y360" s="3"/>
      <c r="Z360" s="50"/>
    </row>
    <row r="361" spans="1:26" ht="15.75">
      <c r="A361" s="1"/>
      <c r="X361" s="3"/>
      <c r="Y361" s="3"/>
      <c r="Z361" s="50"/>
    </row>
    <row r="362" spans="1:26" ht="15.75">
      <c r="A362" s="1"/>
      <c r="X362" s="3"/>
      <c r="Y362" s="3"/>
      <c r="Z362" s="50"/>
    </row>
    <row r="363" spans="1:26" ht="15.75">
      <c r="A363" s="1"/>
      <c r="X363" s="3"/>
      <c r="Y363" s="3"/>
      <c r="Z363" s="50"/>
    </row>
    <row r="364" spans="1:26" ht="15.75">
      <c r="A364" s="1"/>
      <c r="X364" s="3"/>
      <c r="Y364" s="3"/>
      <c r="Z364" s="50"/>
    </row>
    <row r="365" spans="1:26" ht="15.75">
      <c r="A365" s="1"/>
      <c r="X365" s="3"/>
      <c r="Y365" s="3"/>
      <c r="Z365" s="50"/>
    </row>
    <row r="366" spans="1:26" ht="15.75">
      <c r="A366" s="1"/>
      <c r="X366" s="3"/>
      <c r="Y366" s="3"/>
      <c r="Z366" s="50"/>
    </row>
    <row r="367" spans="1:26" ht="15.75">
      <c r="A367" s="1"/>
      <c r="X367" s="3"/>
      <c r="Y367" s="3"/>
      <c r="Z367" s="50"/>
    </row>
    <row r="368" spans="1:26" ht="15.75">
      <c r="A368" s="1"/>
      <c r="X368" s="3"/>
      <c r="Y368" s="3"/>
      <c r="Z368" s="50"/>
    </row>
    <row r="369" spans="1:26" ht="15.75">
      <c r="A369" s="1"/>
      <c r="X369" s="3"/>
      <c r="Y369" s="3"/>
      <c r="Z369" s="50"/>
    </row>
    <row r="370" spans="1:26" ht="15.75">
      <c r="A370" s="1"/>
      <c r="X370" s="3"/>
      <c r="Y370" s="3"/>
      <c r="Z370" s="50"/>
    </row>
    <row r="371" spans="1:26" ht="15.75">
      <c r="A371" s="1"/>
      <c r="X371" s="3"/>
      <c r="Y371" s="3"/>
      <c r="Z371" s="50"/>
    </row>
    <row r="372" spans="1:26" ht="15.75">
      <c r="A372" s="1"/>
      <c r="X372" s="3"/>
      <c r="Y372" s="3"/>
      <c r="Z372" s="50"/>
    </row>
    <row r="373" spans="1:26" ht="15.75">
      <c r="A373" s="1"/>
      <c r="X373" s="3"/>
      <c r="Y373" s="3"/>
      <c r="Z373" s="50"/>
    </row>
    <row r="374" spans="1:26" ht="15.75">
      <c r="A374" s="1"/>
      <c r="X374" s="3"/>
      <c r="Y374" s="3"/>
      <c r="Z374" s="50"/>
    </row>
    <row r="375" spans="1:26" ht="15.75">
      <c r="A375" s="1"/>
      <c r="X375" s="3"/>
      <c r="Y375" s="3"/>
      <c r="Z375" s="50"/>
    </row>
    <row r="376" spans="1:26" ht="15.75">
      <c r="A376" s="1"/>
      <c r="X376" s="3"/>
      <c r="Y376" s="3"/>
      <c r="Z376" s="50"/>
    </row>
    <row r="377" spans="1:26" ht="15.75">
      <c r="A377" s="1"/>
      <c r="X377" s="3"/>
      <c r="Y377" s="3"/>
      <c r="Z377" s="50"/>
    </row>
    <row r="378" spans="1:26" ht="15.75">
      <c r="A378" s="1"/>
      <c r="X378" s="3"/>
      <c r="Y378" s="3"/>
      <c r="Z378" s="50"/>
    </row>
    <row r="379" spans="1:26" ht="15.75">
      <c r="A379" s="1"/>
      <c r="X379" s="3"/>
      <c r="Y379" s="3"/>
      <c r="Z379" s="50"/>
    </row>
    <row r="380" spans="1:26" ht="15.75">
      <c r="A380" s="1"/>
      <c r="X380" s="3"/>
      <c r="Y380" s="3"/>
      <c r="Z380" s="50"/>
    </row>
    <row r="381" spans="1:26" ht="15.75">
      <c r="A381" s="1"/>
      <c r="X381" s="3"/>
      <c r="Y381" s="3"/>
      <c r="Z381" s="50"/>
    </row>
    <row r="382" spans="1:26" ht="15.75">
      <c r="A382" s="1"/>
      <c r="X382" s="3"/>
      <c r="Y382" s="3"/>
      <c r="Z382" s="50"/>
    </row>
    <row r="383" spans="1:26" ht="15.75">
      <c r="A383" s="1"/>
      <c r="X383" s="3"/>
      <c r="Y383" s="3"/>
      <c r="Z383" s="50"/>
    </row>
    <row r="384" spans="1:26" ht="15.75">
      <c r="A384" s="1"/>
      <c r="X384" s="3"/>
      <c r="Y384" s="3"/>
      <c r="Z384" s="50"/>
    </row>
    <row r="385" spans="1:26" ht="15.75">
      <c r="A385" s="1"/>
      <c r="X385" s="3"/>
      <c r="Y385" s="3"/>
      <c r="Z385" s="50"/>
    </row>
    <row r="386" spans="1:26" ht="15.75">
      <c r="A386" s="1"/>
      <c r="X386" s="3"/>
      <c r="Y386" s="3"/>
      <c r="Z386" s="50"/>
    </row>
    <row r="387" spans="1:26" ht="15.75">
      <c r="A387" s="1"/>
      <c r="X387" s="3"/>
      <c r="Y387" s="3"/>
      <c r="Z387" s="50"/>
    </row>
    <row r="388" spans="1:26" ht="15.75">
      <c r="A388" s="1"/>
      <c r="X388" s="3"/>
      <c r="Y388" s="3"/>
      <c r="Z388" s="50"/>
    </row>
    <row r="389" spans="1:26" ht="15.75">
      <c r="A389" s="1"/>
      <c r="X389" s="3"/>
      <c r="Y389" s="3"/>
      <c r="Z389" s="50"/>
    </row>
    <row r="390" spans="1:26" ht="15.75">
      <c r="A390" s="1"/>
      <c r="X390" s="3"/>
      <c r="Y390" s="3"/>
      <c r="Z390" s="50"/>
    </row>
    <row r="391" spans="1:26" ht="15.75">
      <c r="A391" s="1"/>
      <c r="X391" s="3"/>
      <c r="Y391" s="3"/>
      <c r="Z391" s="50"/>
    </row>
    <row r="392" spans="1:26" ht="15.75">
      <c r="A392" s="1"/>
      <c r="X392" s="3"/>
      <c r="Y392" s="3"/>
      <c r="Z392" s="50"/>
    </row>
    <row r="393" spans="1:26" ht="15.75">
      <c r="A393" s="1"/>
      <c r="X393" s="3"/>
      <c r="Y393" s="3"/>
      <c r="Z393" s="50"/>
    </row>
    <row r="394" spans="1:26" ht="15.75">
      <c r="A394" s="1"/>
      <c r="X394" s="3"/>
      <c r="Y394" s="3"/>
      <c r="Z394" s="50"/>
    </row>
    <row r="395" spans="1:26" ht="15.75">
      <c r="A395" s="1"/>
      <c r="X395" s="3"/>
      <c r="Y395" s="3"/>
      <c r="Z395" s="50"/>
    </row>
    <row r="396" spans="1:26" ht="15.75">
      <c r="A396" s="1"/>
      <c r="X396" s="3"/>
      <c r="Y396" s="3"/>
      <c r="Z396" s="50"/>
    </row>
    <row r="397" spans="1:26" ht="15.75">
      <c r="A397" s="1"/>
      <c r="X397" s="3"/>
      <c r="Y397" s="3"/>
      <c r="Z397" s="50"/>
    </row>
    <row r="398" spans="1:26" ht="15.75">
      <c r="A398" s="1"/>
      <c r="X398" s="3"/>
      <c r="Y398" s="3"/>
      <c r="Z398" s="50"/>
    </row>
    <row r="399" spans="1:26" ht="15.75">
      <c r="A399" s="1"/>
      <c r="X399" s="3"/>
      <c r="Y399" s="3"/>
      <c r="Z399" s="50"/>
    </row>
    <row r="400" spans="1:26" ht="15.75">
      <c r="A400" s="1"/>
      <c r="X400" s="3"/>
      <c r="Y400" s="3"/>
      <c r="Z400" s="50"/>
    </row>
    <row r="401" spans="1:26" ht="15.75">
      <c r="A401" s="1"/>
      <c r="X401" s="3"/>
      <c r="Y401" s="3"/>
      <c r="Z401" s="50"/>
    </row>
    <row r="402" spans="1:26" ht="15.75">
      <c r="A402" s="1"/>
      <c r="X402" s="3"/>
      <c r="Y402" s="3"/>
      <c r="Z402" s="50"/>
    </row>
    <row r="403" spans="1:26" ht="15.75">
      <c r="A403" s="1"/>
      <c r="X403" s="3"/>
      <c r="Y403" s="3"/>
      <c r="Z403" s="50"/>
    </row>
    <row r="404" spans="1:26" ht="15.75">
      <c r="A404" s="1"/>
      <c r="X404" s="3"/>
      <c r="Y404" s="3"/>
      <c r="Z404" s="50"/>
    </row>
    <row r="405" spans="1:26" ht="15.75">
      <c r="A405" s="1"/>
      <c r="X405" s="3"/>
      <c r="Y405" s="3"/>
      <c r="Z405" s="50"/>
    </row>
    <row r="406" spans="1:26" ht="15.75">
      <c r="A406" s="1"/>
      <c r="X406" s="3"/>
      <c r="Y406" s="3"/>
      <c r="Z406" s="50"/>
    </row>
    <row r="407" spans="1:26" ht="15.75">
      <c r="A407" s="1"/>
      <c r="X407" s="3"/>
      <c r="Y407" s="3"/>
      <c r="Z407" s="50"/>
    </row>
    <row r="408" spans="1:26" ht="15.75">
      <c r="A408" s="1"/>
      <c r="X408" s="3"/>
      <c r="Y408" s="3"/>
      <c r="Z408" s="50"/>
    </row>
    <row r="409" spans="1:26" ht="15.75">
      <c r="A409" s="1"/>
      <c r="X409" s="3"/>
      <c r="Y409" s="3"/>
      <c r="Z409" s="50"/>
    </row>
    <row r="410" spans="1:26" ht="15.75">
      <c r="A410" s="1"/>
      <c r="X410" s="3"/>
      <c r="Y410" s="3"/>
      <c r="Z410" s="50"/>
    </row>
    <row r="411" spans="1:26" ht="15.75">
      <c r="A411" s="1"/>
      <c r="X411" s="3"/>
      <c r="Y411" s="3"/>
      <c r="Z411" s="50"/>
    </row>
    <row r="412" spans="1:26" ht="15.75">
      <c r="A412" s="1"/>
      <c r="X412" s="3"/>
      <c r="Y412" s="3"/>
      <c r="Z412" s="50"/>
    </row>
    <row r="413" spans="1:26" ht="15.75">
      <c r="A413" s="1"/>
      <c r="X413" s="3"/>
      <c r="Y413" s="3"/>
      <c r="Z413" s="50"/>
    </row>
    <row r="414" spans="1:26" ht="15.75">
      <c r="A414" s="1"/>
      <c r="X414" s="3"/>
      <c r="Y414" s="3"/>
      <c r="Z414" s="50"/>
    </row>
    <row r="415" spans="1:26" ht="15.75">
      <c r="A415" s="1"/>
      <c r="X415" s="3"/>
      <c r="Y415" s="3"/>
      <c r="Z415" s="50"/>
    </row>
    <row r="416" spans="1:26" ht="15.75">
      <c r="A416" s="1"/>
      <c r="X416" s="3"/>
      <c r="Y416" s="3"/>
      <c r="Z416" s="50"/>
    </row>
    <row r="417" spans="1:26" ht="15.75">
      <c r="A417" s="1"/>
      <c r="X417" s="3"/>
      <c r="Y417" s="3"/>
      <c r="Z417" s="50"/>
    </row>
    <row r="418" spans="1:26" ht="15.75">
      <c r="A418" s="1"/>
      <c r="X418" s="3"/>
      <c r="Y418" s="3"/>
      <c r="Z418" s="50"/>
    </row>
    <row r="419" spans="1:26" ht="15.75">
      <c r="A419" s="1"/>
      <c r="X419" s="3"/>
      <c r="Y419" s="3"/>
      <c r="Z419" s="50"/>
    </row>
    <row r="420" spans="1:26" ht="15.75">
      <c r="A420" s="1"/>
      <c r="X420" s="3"/>
      <c r="Y420" s="3"/>
      <c r="Z420" s="50"/>
    </row>
    <row r="421" spans="1:26" ht="15.75">
      <c r="A421" s="1"/>
      <c r="X421" s="3"/>
      <c r="Y421" s="3"/>
      <c r="Z421" s="50"/>
    </row>
    <row r="422" spans="1:26" ht="15.75">
      <c r="A422" s="1"/>
      <c r="X422" s="3"/>
      <c r="Y422" s="3"/>
      <c r="Z422" s="50"/>
    </row>
    <row r="423" spans="1:26" ht="15.75">
      <c r="A423" s="1"/>
      <c r="X423" s="3"/>
      <c r="Y423" s="3"/>
      <c r="Z423" s="50"/>
    </row>
    <row r="424" spans="1:26" ht="15.75">
      <c r="A424" s="1"/>
      <c r="X424" s="3"/>
      <c r="Y424" s="3"/>
      <c r="Z424" s="50"/>
    </row>
    <row r="425" spans="1:26" ht="15.75">
      <c r="A425" s="1"/>
      <c r="X425" s="3"/>
      <c r="Y425" s="3"/>
      <c r="Z425" s="50"/>
    </row>
    <row r="426" spans="1:26" ht="15.75">
      <c r="A426" s="1"/>
      <c r="X426" s="3"/>
      <c r="Y426" s="3"/>
      <c r="Z426" s="50"/>
    </row>
    <row r="427" spans="1:26" ht="15.75">
      <c r="A427" s="1"/>
      <c r="X427" s="3"/>
      <c r="Y427" s="3"/>
      <c r="Z427" s="50"/>
    </row>
    <row r="428" spans="1:26" ht="15.75">
      <c r="A428" s="1"/>
      <c r="X428" s="3"/>
      <c r="Y428" s="3"/>
      <c r="Z428" s="50"/>
    </row>
    <row r="429" spans="1:26" ht="15.75">
      <c r="A429" s="1"/>
      <c r="X429" s="3"/>
      <c r="Y429" s="3"/>
      <c r="Z429" s="50"/>
    </row>
    <row r="430" spans="1:26" ht="15.75">
      <c r="A430" s="1"/>
      <c r="X430" s="3"/>
      <c r="Y430" s="3"/>
      <c r="Z430" s="50"/>
    </row>
    <row r="431" spans="1:26" ht="15.75">
      <c r="A431" s="1"/>
      <c r="X431" s="3"/>
      <c r="Y431" s="3"/>
      <c r="Z431" s="50"/>
    </row>
    <row r="432" spans="1:26" ht="15.75">
      <c r="A432" s="1"/>
      <c r="X432" s="3"/>
      <c r="Y432" s="3"/>
      <c r="Z432" s="50"/>
    </row>
    <row r="433" spans="1:26" ht="15.75">
      <c r="A433" s="1"/>
      <c r="X433" s="3"/>
      <c r="Y433" s="3"/>
      <c r="Z433" s="50"/>
    </row>
    <row r="434" spans="1:26" ht="15.75">
      <c r="A434" s="1"/>
      <c r="X434" s="3"/>
      <c r="Y434" s="3"/>
      <c r="Z434" s="50"/>
    </row>
    <row r="435" spans="1:26" ht="15.75">
      <c r="A435" s="1"/>
      <c r="X435" s="3"/>
      <c r="Y435" s="3"/>
      <c r="Z435" s="50"/>
    </row>
    <row r="436" spans="1:26" ht="15.75">
      <c r="A436" s="1"/>
      <c r="X436" s="3"/>
      <c r="Y436" s="3"/>
      <c r="Z436" s="50"/>
    </row>
    <row r="437" spans="1:26" ht="15.75">
      <c r="A437" s="1"/>
      <c r="X437" s="3"/>
      <c r="Y437" s="3"/>
      <c r="Z437" s="50"/>
    </row>
    <row r="438" spans="1:26" ht="15.75">
      <c r="A438" s="1"/>
      <c r="X438" s="3"/>
      <c r="Y438" s="3"/>
      <c r="Z438" s="50"/>
    </row>
    <row r="439" spans="1:26" ht="15.75">
      <c r="A439" s="1"/>
      <c r="X439" s="3"/>
      <c r="Y439" s="3"/>
      <c r="Z439" s="50"/>
    </row>
    <row r="440" spans="1:26" ht="15.75">
      <c r="A440" s="1"/>
      <c r="X440" s="3"/>
      <c r="Y440" s="3"/>
      <c r="Z440" s="50"/>
    </row>
    <row r="441" spans="1:26" ht="15.75">
      <c r="A441" s="1"/>
      <c r="X441" s="3"/>
      <c r="Y441" s="3"/>
      <c r="Z441" s="50"/>
    </row>
    <row r="442" spans="1:26" ht="15.75">
      <c r="A442" s="1"/>
      <c r="X442" s="3"/>
      <c r="Y442" s="3"/>
      <c r="Z442" s="50"/>
    </row>
    <row r="443" spans="1:26" ht="15.75">
      <c r="A443" s="1"/>
      <c r="X443" s="3"/>
      <c r="Y443" s="3"/>
      <c r="Z443" s="50"/>
    </row>
    <row r="444" spans="1:26" ht="15.75">
      <c r="A444" s="1"/>
      <c r="X444" s="3"/>
      <c r="Y444" s="3"/>
      <c r="Z444" s="50"/>
    </row>
    <row r="445" spans="1:26" ht="15.75">
      <c r="A445" s="1"/>
      <c r="X445" s="3"/>
      <c r="Y445" s="3"/>
      <c r="Z445" s="50"/>
    </row>
    <row r="446" spans="1:26" ht="15.75">
      <c r="A446" s="1"/>
      <c r="X446" s="3"/>
      <c r="Y446" s="3"/>
      <c r="Z446" s="50"/>
    </row>
    <row r="447" spans="1:26" ht="15.75">
      <c r="A447" s="1"/>
      <c r="X447" s="3"/>
      <c r="Y447" s="3"/>
      <c r="Z447" s="50"/>
    </row>
    <row r="448" spans="1:26" ht="15.75">
      <c r="A448" s="1"/>
      <c r="X448" s="3"/>
      <c r="Y448" s="3"/>
      <c r="Z448" s="50"/>
    </row>
    <row r="449" spans="1:26" ht="15.75">
      <c r="A449" s="1"/>
      <c r="X449" s="3"/>
      <c r="Y449" s="3"/>
      <c r="Z449" s="50"/>
    </row>
    <row r="450" spans="1:26" ht="15.75">
      <c r="A450" s="1"/>
      <c r="X450" s="3"/>
      <c r="Y450" s="3"/>
      <c r="Z450" s="50"/>
    </row>
    <row r="451" spans="1:26" ht="15.75">
      <c r="A451" s="1"/>
      <c r="X451" s="3"/>
      <c r="Y451" s="3"/>
      <c r="Z451" s="50"/>
    </row>
    <row r="452" spans="1:26" ht="15.75">
      <c r="A452" s="1"/>
      <c r="X452" s="3"/>
      <c r="Y452" s="3"/>
      <c r="Z452" s="50"/>
    </row>
    <row r="453" spans="1:26" ht="15.75">
      <c r="A453" s="1"/>
      <c r="X453" s="3"/>
      <c r="Y453" s="3"/>
      <c r="Z453" s="50"/>
    </row>
    <row r="454" spans="1:26" ht="15.75">
      <c r="A454" s="1"/>
      <c r="X454" s="3"/>
      <c r="Y454" s="3"/>
      <c r="Z454" s="50"/>
    </row>
    <row r="455" spans="1:26" ht="15.75">
      <c r="A455" s="1"/>
      <c r="X455" s="3"/>
      <c r="Y455" s="3"/>
      <c r="Z455" s="50"/>
    </row>
    <row r="456" spans="1:26" ht="15.75">
      <c r="A456" s="1"/>
      <c r="X456" s="3"/>
      <c r="Y456" s="3"/>
      <c r="Z456" s="50"/>
    </row>
    <row r="457" spans="1:26" ht="15.75">
      <c r="A457" s="1"/>
      <c r="X457" s="3"/>
      <c r="Y457" s="3"/>
      <c r="Z457" s="50"/>
    </row>
    <row r="458" spans="1:26" ht="15.75">
      <c r="A458" s="1"/>
      <c r="X458" s="3"/>
      <c r="Y458" s="3"/>
      <c r="Z458" s="50"/>
    </row>
    <row r="459" spans="1:26" ht="15.75">
      <c r="A459" s="1"/>
      <c r="X459" s="3"/>
      <c r="Y459" s="3"/>
      <c r="Z459" s="50"/>
    </row>
    <row r="460" spans="1:26" ht="15.75">
      <c r="A460" s="1"/>
      <c r="X460" s="3"/>
      <c r="Y460" s="3"/>
      <c r="Z460" s="50"/>
    </row>
    <row r="461" spans="1:26" ht="15.75">
      <c r="A461" s="1"/>
      <c r="X461" s="3"/>
      <c r="Y461" s="3"/>
      <c r="Z461" s="50"/>
    </row>
    <row r="462" spans="1:26" ht="15.75">
      <c r="A462" s="1"/>
      <c r="X462" s="3"/>
      <c r="Y462" s="3"/>
      <c r="Z462" s="50"/>
    </row>
    <row r="463" spans="1:26" ht="15.75">
      <c r="A463" s="1"/>
      <c r="X463" s="3"/>
      <c r="Y463" s="3"/>
      <c r="Z463" s="50"/>
    </row>
    <row r="464" spans="1:26" ht="15.75">
      <c r="A464" s="1"/>
      <c r="X464" s="3"/>
      <c r="Y464" s="3"/>
      <c r="Z464" s="50"/>
    </row>
    <row r="465" spans="1:26" ht="15.75">
      <c r="A465" s="1"/>
      <c r="X465" s="3"/>
      <c r="Y465" s="3"/>
      <c r="Z465" s="50"/>
    </row>
    <row r="466" spans="1:26" ht="15.75">
      <c r="A466" s="1"/>
      <c r="X466" s="3"/>
      <c r="Y466" s="3"/>
      <c r="Z466" s="50"/>
    </row>
    <row r="467" spans="1:26" ht="15.75">
      <c r="A467" s="1"/>
      <c r="X467" s="3"/>
      <c r="Y467" s="3"/>
      <c r="Z467" s="50"/>
    </row>
    <row r="468" spans="1:26" ht="15.75">
      <c r="A468" s="1"/>
      <c r="X468" s="3"/>
      <c r="Y468" s="3"/>
      <c r="Z468" s="50"/>
    </row>
    <row r="469" spans="1:26" ht="15.75">
      <c r="A469" s="1"/>
      <c r="X469" s="3"/>
      <c r="Y469" s="3"/>
      <c r="Z469" s="50"/>
    </row>
    <row r="470" spans="1:26" ht="15.75">
      <c r="A470" s="1"/>
      <c r="X470" s="3"/>
      <c r="Y470" s="3"/>
      <c r="Z470" s="50"/>
    </row>
    <row r="471" spans="1:26" ht="15.75">
      <c r="A471" s="1"/>
      <c r="X471" s="3"/>
      <c r="Y471" s="3"/>
      <c r="Z471" s="50"/>
    </row>
    <row r="472" spans="1:26" ht="15.75">
      <c r="A472" s="1"/>
      <c r="X472" s="3"/>
      <c r="Y472" s="3"/>
      <c r="Z472" s="50"/>
    </row>
    <row r="473" spans="1:26" ht="15.75">
      <c r="A473" s="1"/>
      <c r="X473" s="3"/>
      <c r="Y473" s="3"/>
      <c r="Z473" s="50"/>
    </row>
    <row r="474" spans="1:26" ht="15.75">
      <c r="A474" s="1"/>
      <c r="X474" s="3"/>
      <c r="Y474" s="3"/>
      <c r="Z474" s="50"/>
    </row>
    <row r="475" spans="1:26" ht="15.75">
      <c r="A475" s="1"/>
      <c r="X475" s="3"/>
      <c r="Y475" s="3"/>
      <c r="Z475" s="50"/>
    </row>
    <row r="476" spans="1:26" ht="15.75">
      <c r="A476" s="1"/>
      <c r="X476" s="3"/>
      <c r="Y476" s="3"/>
      <c r="Z476" s="50"/>
    </row>
    <row r="477" spans="1:26" ht="15.75">
      <c r="A477" s="1"/>
      <c r="X477" s="3"/>
      <c r="Y477" s="3"/>
      <c r="Z477" s="50"/>
    </row>
    <row r="478" spans="1:26" ht="15.75">
      <c r="A478" s="1"/>
      <c r="X478" s="3"/>
      <c r="Y478" s="3"/>
      <c r="Z478" s="50"/>
    </row>
    <row r="479" spans="1:26" ht="15.75">
      <c r="A479" s="1"/>
      <c r="X479" s="3"/>
      <c r="Y479" s="3"/>
      <c r="Z479" s="50"/>
    </row>
    <row r="480" spans="1:26" ht="15.75">
      <c r="A480" s="1"/>
      <c r="X480" s="3"/>
      <c r="Y480" s="3"/>
      <c r="Z480" s="50"/>
    </row>
    <row r="481" spans="1:26" ht="15.75">
      <c r="A481" s="1"/>
      <c r="X481" s="3"/>
      <c r="Y481" s="3"/>
      <c r="Z481" s="50"/>
    </row>
    <row r="482" spans="1:26" ht="15.75">
      <c r="A482" s="1"/>
      <c r="X482" s="3"/>
      <c r="Y482" s="3"/>
      <c r="Z482" s="50"/>
    </row>
    <row r="483" spans="1:26" ht="15.75">
      <c r="A483" s="1"/>
      <c r="X483" s="3"/>
      <c r="Y483" s="3"/>
      <c r="Z483" s="50"/>
    </row>
    <row r="484" spans="1:26" ht="15.75">
      <c r="A484" s="1"/>
      <c r="X484" s="3"/>
      <c r="Y484" s="3"/>
      <c r="Z484" s="50"/>
    </row>
    <row r="485" spans="1:26" ht="15.75">
      <c r="A485" s="1"/>
      <c r="X485" s="3"/>
      <c r="Y485" s="3"/>
      <c r="Z485" s="50"/>
    </row>
    <row r="486" spans="1:26" ht="15.75">
      <c r="A486" s="1"/>
      <c r="X486" s="3"/>
      <c r="Y486" s="3"/>
      <c r="Z486" s="50"/>
    </row>
    <row r="487" spans="1:26" ht="15.75">
      <c r="A487" s="1"/>
      <c r="X487" s="3"/>
      <c r="Y487" s="3"/>
      <c r="Z487" s="50"/>
    </row>
    <row r="488" spans="1:26" ht="15.75">
      <c r="A488" s="1"/>
      <c r="X488" s="3"/>
      <c r="Y488" s="3"/>
      <c r="Z488" s="50"/>
    </row>
    <row r="489" spans="1:26" ht="15.75">
      <c r="A489" s="1"/>
      <c r="X489" s="3"/>
      <c r="Y489" s="3"/>
      <c r="Z489" s="50"/>
    </row>
    <row r="490" spans="1:26" ht="15.75">
      <c r="A490" s="1"/>
      <c r="X490" s="3"/>
      <c r="Y490" s="3"/>
      <c r="Z490" s="50"/>
    </row>
    <row r="491" spans="1:26" ht="15.75">
      <c r="A491" s="1"/>
      <c r="X491" s="3"/>
      <c r="Y491" s="3"/>
      <c r="Z491" s="50"/>
    </row>
    <row r="492" spans="1:26" ht="15.75">
      <c r="A492" s="1"/>
      <c r="X492" s="3"/>
      <c r="Y492" s="3"/>
      <c r="Z492" s="50"/>
    </row>
    <row r="493" spans="1:26" ht="15.75">
      <c r="A493" s="1"/>
      <c r="X493" s="3"/>
      <c r="Y493" s="3"/>
      <c r="Z493" s="50"/>
    </row>
    <row r="494" spans="1:26" ht="15.75">
      <c r="A494" s="1"/>
      <c r="X494" s="3"/>
      <c r="Y494" s="3"/>
      <c r="Z494" s="50"/>
    </row>
    <row r="495" spans="1:26" ht="15.75">
      <c r="A495" s="1"/>
      <c r="X495" s="3"/>
      <c r="Y495" s="3"/>
      <c r="Z495" s="50"/>
    </row>
    <row r="496" spans="1:26" ht="15.75">
      <c r="A496" s="1"/>
      <c r="X496" s="3"/>
      <c r="Y496" s="3"/>
      <c r="Z496" s="50"/>
    </row>
    <row r="497" spans="1:26" ht="15.75">
      <c r="A497" s="1"/>
      <c r="X497" s="3"/>
      <c r="Y497" s="3"/>
      <c r="Z497" s="50"/>
    </row>
    <row r="498" spans="1:26" ht="15.75">
      <c r="A498" s="1"/>
      <c r="X498" s="3"/>
      <c r="Y498" s="3"/>
      <c r="Z498" s="50"/>
    </row>
    <row r="499" spans="1:26" ht="15.75">
      <c r="A499" s="1"/>
      <c r="X499" s="3"/>
      <c r="Y499" s="3"/>
      <c r="Z499" s="50"/>
    </row>
    <row r="500" spans="1:26" ht="15.75">
      <c r="A500" s="1"/>
      <c r="X500" s="3"/>
      <c r="Y500" s="3"/>
      <c r="Z500" s="50"/>
    </row>
    <row r="501" spans="1:26" ht="15.75">
      <c r="A501" s="1"/>
      <c r="X501" s="3"/>
      <c r="Y501" s="3"/>
      <c r="Z501" s="50"/>
    </row>
    <row r="502" spans="1:26" ht="15.75">
      <c r="A502" s="1"/>
      <c r="X502" s="3"/>
      <c r="Y502" s="3"/>
      <c r="Z502" s="50"/>
    </row>
    <row r="503" spans="1:26" ht="15.75">
      <c r="A503" s="1"/>
      <c r="X503" s="3"/>
      <c r="Y503" s="3"/>
      <c r="Z503" s="50"/>
    </row>
    <row r="504" spans="1:26" ht="15.75">
      <c r="A504" s="1"/>
      <c r="X504" s="3"/>
      <c r="Y504" s="3"/>
      <c r="Z504" s="50"/>
    </row>
    <row r="505" spans="1:26" ht="15.75">
      <c r="A505" s="1"/>
      <c r="X505" s="3"/>
      <c r="Y505" s="3"/>
      <c r="Z505" s="50"/>
    </row>
    <row r="506" spans="1:26" ht="15.75">
      <c r="A506" s="1"/>
      <c r="X506" s="3"/>
      <c r="Y506" s="3"/>
      <c r="Z506" s="50"/>
    </row>
    <row r="507" spans="1:26" ht="15.75">
      <c r="A507" s="1"/>
      <c r="X507" s="3"/>
      <c r="Y507" s="3"/>
      <c r="Z507" s="50"/>
    </row>
    <row r="508" spans="1:26" ht="15.75">
      <c r="A508" s="1"/>
      <c r="X508" s="3"/>
      <c r="Y508" s="3"/>
      <c r="Z508" s="50"/>
    </row>
    <row r="509" spans="1:26" ht="15.75">
      <c r="A509" s="1"/>
      <c r="X509" s="3"/>
      <c r="Y509" s="3"/>
      <c r="Z509" s="50"/>
    </row>
    <row r="510" spans="1:26" ht="15.75">
      <c r="A510" s="1"/>
      <c r="X510" s="3"/>
      <c r="Y510" s="3"/>
      <c r="Z510" s="50"/>
    </row>
    <row r="511" spans="1:26" ht="15.75">
      <c r="A511" s="1"/>
      <c r="X511" s="3"/>
      <c r="Y511" s="3"/>
      <c r="Z511" s="50"/>
    </row>
    <row r="512" spans="1:26" ht="15.75">
      <c r="A512" s="1"/>
      <c r="X512" s="3"/>
      <c r="Y512" s="3"/>
      <c r="Z512" s="50"/>
    </row>
    <row r="513" spans="1:26" ht="15.75">
      <c r="A513" s="1"/>
      <c r="X513" s="3"/>
      <c r="Y513" s="3"/>
      <c r="Z513" s="50"/>
    </row>
    <row r="514" spans="1:26" ht="15.75">
      <c r="A514" s="1"/>
      <c r="X514" s="3"/>
      <c r="Y514" s="3"/>
      <c r="Z514" s="50"/>
    </row>
    <row r="515" spans="1:26" ht="15.75">
      <c r="A515" s="1"/>
      <c r="X515" s="3"/>
      <c r="Y515" s="3"/>
      <c r="Z515" s="50"/>
    </row>
    <row r="516" spans="1:26" ht="15.75">
      <c r="A516" s="1"/>
      <c r="X516" s="3"/>
      <c r="Y516" s="3"/>
      <c r="Z516" s="50"/>
    </row>
    <row r="517" spans="1:26" ht="15.75">
      <c r="A517" s="1"/>
      <c r="X517" s="3"/>
      <c r="Y517" s="3"/>
      <c r="Z517" s="50"/>
    </row>
    <row r="518" spans="1:26" ht="15.75">
      <c r="A518" s="1"/>
      <c r="X518" s="3"/>
      <c r="Y518" s="3"/>
      <c r="Z518" s="50"/>
    </row>
    <row r="519" spans="1:26" ht="15.75">
      <c r="A519" s="1"/>
      <c r="X519" s="3"/>
      <c r="Y519" s="3"/>
      <c r="Z519" s="50"/>
    </row>
    <row r="520" spans="1:26" ht="15.75">
      <c r="A520" s="1"/>
      <c r="X520" s="3"/>
      <c r="Y520" s="3"/>
      <c r="Z520" s="50"/>
    </row>
    <row r="521" spans="1:26" ht="15.75">
      <c r="A521" s="1"/>
      <c r="X521" s="3"/>
      <c r="Y521" s="3"/>
      <c r="Z521" s="50"/>
    </row>
    <row r="522" spans="1:26" ht="15.75">
      <c r="A522" s="1"/>
      <c r="X522" s="3"/>
      <c r="Y522" s="3"/>
      <c r="Z522" s="50"/>
    </row>
    <row r="523" spans="1:26" ht="15.75">
      <c r="A523" s="1"/>
      <c r="X523" s="3"/>
      <c r="Y523" s="3"/>
      <c r="Z523" s="50"/>
    </row>
    <row r="524" spans="1:26" ht="15.75">
      <c r="A524" s="1"/>
      <c r="X524" s="3"/>
      <c r="Y524" s="3"/>
      <c r="Z524" s="50"/>
    </row>
    <row r="525" spans="1:26" ht="15.75">
      <c r="A525" s="1"/>
      <c r="X525" s="3"/>
      <c r="Y525" s="3"/>
      <c r="Z525" s="50"/>
    </row>
    <row r="526" spans="1:26" ht="15.75">
      <c r="A526" s="1"/>
      <c r="X526" s="3"/>
      <c r="Y526" s="3"/>
      <c r="Z526" s="50"/>
    </row>
    <row r="527" spans="1:26" ht="15.75">
      <c r="A527" s="1"/>
      <c r="X527" s="3"/>
      <c r="Y527" s="3"/>
      <c r="Z527" s="50"/>
    </row>
    <row r="528" spans="1:26" ht="15.75">
      <c r="A528" s="1"/>
      <c r="X528" s="3"/>
      <c r="Y528" s="3"/>
      <c r="Z528" s="50"/>
    </row>
    <row r="529" spans="1:26" ht="15.75">
      <c r="A529" s="1"/>
      <c r="X529" s="3"/>
      <c r="Y529" s="3"/>
      <c r="Z529" s="50"/>
    </row>
    <row r="530" spans="1:26" ht="15.75">
      <c r="A530" s="1"/>
      <c r="X530" s="3"/>
      <c r="Y530" s="3"/>
      <c r="Z530" s="50"/>
    </row>
    <row r="531" spans="1:26" ht="15.75">
      <c r="A531" s="1"/>
      <c r="X531" s="3"/>
      <c r="Y531" s="3"/>
      <c r="Z531" s="50"/>
    </row>
    <row r="532" spans="1:26" ht="15.75">
      <c r="A532" s="1"/>
      <c r="X532" s="3"/>
      <c r="Y532" s="3"/>
      <c r="Z532" s="50"/>
    </row>
    <row r="533" spans="1:26" ht="15.75">
      <c r="A533" s="1"/>
      <c r="X533" s="3"/>
      <c r="Y533" s="3"/>
      <c r="Z533" s="50"/>
    </row>
    <row r="534" spans="1:26" ht="15.75">
      <c r="A534" s="1"/>
      <c r="X534" s="3"/>
      <c r="Y534" s="3"/>
      <c r="Z534" s="50"/>
    </row>
    <row r="535" spans="1:26" ht="15.75">
      <c r="A535" s="1"/>
      <c r="X535" s="3"/>
      <c r="Y535" s="3"/>
      <c r="Z535" s="50"/>
    </row>
    <row r="536" spans="1:26" ht="15.75">
      <c r="A536" s="1"/>
      <c r="X536" s="3"/>
      <c r="Y536" s="3"/>
      <c r="Z536" s="50"/>
    </row>
    <row r="537" spans="1:26" ht="15.75">
      <c r="A537" s="1"/>
      <c r="X537" s="3"/>
      <c r="Y537" s="3"/>
      <c r="Z537" s="50"/>
    </row>
    <row r="538" spans="1:26" ht="15.75">
      <c r="A538" s="1"/>
      <c r="X538" s="3"/>
      <c r="Y538" s="3"/>
      <c r="Z538" s="50"/>
    </row>
    <row r="539" spans="1:26" ht="15.75">
      <c r="A539" s="1"/>
      <c r="X539" s="3"/>
      <c r="Y539" s="3"/>
      <c r="Z539" s="50"/>
    </row>
    <row r="540" spans="1:26" ht="15.75">
      <c r="A540" s="1"/>
      <c r="X540" s="3"/>
      <c r="Y540" s="3"/>
      <c r="Z540" s="50"/>
    </row>
    <row r="541" spans="1:26" ht="15.75">
      <c r="A541" s="1"/>
      <c r="X541" s="3"/>
      <c r="Y541" s="3"/>
      <c r="Z541" s="50"/>
    </row>
    <row r="542" spans="1:26" ht="15.75">
      <c r="A542" s="1"/>
      <c r="X542" s="3"/>
      <c r="Y542" s="3"/>
      <c r="Z542" s="50"/>
    </row>
    <row r="543" spans="1:26" ht="15.75">
      <c r="A543" s="1"/>
      <c r="X543" s="3"/>
      <c r="Y543" s="3"/>
      <c r="Z543" s="50"/>
    </row>
    <row r="544" spans="1:26" ht="15.75">
      <c r="A544" s="1"/>
      <c r="X544" s="3"/>
      <c r="Y544" s="3"/>
      <c r="Z544" s="50"/>
    </row>
    <row r="545" spans="1:26" ht="15.75">
      <c r="A545" s="1"/>
      <c r="X545" s="3"/>
      <c r="Y545" s="3"/>
      <c r="Z545" s="50"/>
    </row>
    <row r="546" spans="1:26" ht="15.75">
      <c r="A546" s="1"/>
      <c r="X546" s="3"/>
      <c r="Y546" s="3"/>
      <c r="Z546" s="50"/>
    </row>
    <row r="547" spans="1:26" ht="15.75">
      <c r="A547" s="1"/>
      <c r="X547" s="3"/>
      <c r="Y547" s="3"/>
      <c r="Z547" s="50"/>
    </row>
    <row r="548" spans="1:26" ht="15.75">
      <c r="A548" s="1"/>
      <c r="X548" s="3"/>
      <c r="Y548" s="3"/>
      <c r="Z548" s="50"/>
    </row>
    <row r="549" spans="1:26" ht="15.75">
      <c r="A549" s="1"/>
      <c r="X549" s="3"/>
      <c r="Y549" s="3"/>
      <c r="Z549" s="50"/>
    </row>
    <row r="550" spans="1:26" ht="15.75">
      <c r="A550" s="1"/>
      <c r="X550" s="3"/>
      <c r="Y550" s="3"/>
      <c r="Z550" s="50"/>
    </row>
    <row r="551" spans="1:26" ht="15.75">
      <c r="A551" s="1"/>
      <c r="X551" s="3"/>
      <c r="Y551" s="3"/>
      <c r="Z551" s="50"/>
    </row>
    <row r="552" spans="1:26" ht="15.75">
      <c r="A552" s="1"/>
      <c r="X552" s="3"/>
      <c r="Y552" s="3"/>
      <c r="Z552" s="50"/>
    </row>
    <row r="553" spans="1:26" ht="15.75">
      <c r="A553" s="1"/>
      <c r="X553" s="3"/>
      <c r="Y553" s="3"/>
      <c r="Z553" s="50"/>
    </row>
    <row r="554" spans="1:26" ht="15.75">
      <c r="A554" s="1"/>
      <c r="X554" s="3"/>
      <c r="Y554" s="3"/>
      <c r="Z554" s="50"/>
    </row>
    <row r="555" spans="1:26" ht="15.75">
      <c r="A555" s="1"/>
      <c r="X555" s="3"/>
      <c r="Y555" s="3"/>
      <c r="Z555" s="50"/>
    </row>
    <row r="556" spans="1:26" ht="15.75">
      <c r="A556" s="1"/>
      <c r="X556" s="3"/>
      <c r="Y556" s="3"/>
      <c r="Z556" s="50"/>
    </row>
    <row r="557" spans="1:26" ht="15.75">
      <c r="A557" s="1"/>
      <c r="X557" s="3"/>
      <c r="Y557" s="3"/>
      <c r="Z557" s="50"/>
    </row>
    <row r="558" spans="1:26" ht="15.75">
      <c r="A558" s="1"/>
      <c r="X558" s="3"/>
      <c r="Y558" s="3"/>
      <c r="Z558" s="50"/>
    </row>
    <row r="559" spans="1:26" ht="15.75">
      <c r="A559" s="1"/>
      <c r="X559" s="3"/>
      <c r="Y559" s="3"/>
      <c r="Z559" s="50"/>
    </row>
    <row r="560" spans="1:26" ht="15.75">
      <c r="A560" s="1"/>
      <c r="X560" s="3"/>
      <c r="Y560" s="3"/>
      <c r="Z560" s="50"/>
    </row>
    <row r="561" spans="1:26" ht="15.75">
      <c r="A561" s="1"/>
      <c r="X561" s="3"/>
      <c r="Y561" s="3"/>
      <c r="Z561" s="50"/>
    </row>
    <row r="562" spans="1:26" ht="15.75">
      <c r="A562" s="1"/>
      <c r="X562" s="3"/>
      <c r="Y562" s="3"/>
      <c r="Z562" s="50"/>
    </row>
    <row r="563" spans="1:26" ht="15.75">
      <c r="A563" s="1"/>
      <c r="X563" s="3"/>
      <c r="Y563" s="3"/>
      <c r="Z563" s="50"/>
    </row>
    <row r="564" spans="1:26" ht="15.75">
      <c r="A564" s="1"/>
      <c r="X564" s="3"/>
      <c r="Y564" s="3"/>
      <c r="Z564" s="50"/>
    </row>
    <row r="565" spans="1:26" ht="15.75">
      <c r="A565" s="1"/>
      <c r="X565" s="3"/>
      <c r="Y565" s="3"/>
      <c r="Z565" s="50"/>
    </row>
    <row r="566" spans="1:26" ht="15.75">
      <c r="A566" s="1"/>
      <c r="X566" s="3"/>
      <c r="Y566" s="3"/>
      <c r="Z566" s="50"/>
    </row>
    <row r="567" spans="1:26" ht="15.75">
      <c r="A567" s="1"/>
      <c r="X567" s="3"/>
      <c r="Y567" s="3"/>
      <c r="Z567" s="50"/>
    </row>
    <row r="568" spans="1:26" ht="15.75">
      <c r="A568" s="1"/>
      <c r="X568" s="3"/>
      <c r="Y568" s="3"/>
      <c r="Z568" s="50"/>
    </row>
    <row r="569" spans="1:26" ht="15.75">
      <c r="A569" s="1"/>
      <c r="X569" s="3"/>
      <c r="Y569" s="3"/>
      <c r="Z569" s="50"/>
    </row>
    <row r="570" spans="1:26" ht="15.75">
      <c r="A570" s="1"/>
      <c r="X570" s="3"/>
      <c r="Y570" s="3"/>
      <c r="Z570" s="50"/>
    </row>
    <row r="571" spans="1:26" ht="15.75">
      <c r="A571" s="1"/>
      <c r="X571" s="3"/>
      <c r="Y571" s="3"/>
      <c r="Z571" s="50"/>
    </row>
    <row r="572" spans="1:26" ht="15.75">
      <c r="A572" s="1"/>
      <c r="X572" s="3"/>
      <c r="Y572" s="3"/>
      <c r="Z572" s="50"/>
    </row>
    <row r="573" spans="1:26" ht="15.75">
      <c r="A573" s="1"/>
      <c r="X573" s="3"/>
      <c r="Y573" s="3"/>
      <c r="Z573" s="50"/>
    </row>
    <row r="574" spans="1:26" ht="15.75">
      <c r="A574" s="1"/>
      <c r="X574" s="3"/>
      <c r="Y574" s="3"/>
      <c r="Z574" s="50"/>
    </row>
    <row r="575" spans="1:26" ht="15.75">
      <c r="A575" s="1"/>
      <c r="X575" s="3"/>
      <c r="Y575" s="3"/>
      <c r="Z575" s="50"/>
    </row>
    <row r="576" spans="1:26" ht="15.75">
      <c r="A576" s="1"/>
      <c r="X576" s="3"/>
      <c r="Y576" s="3"/>
      <c r="Z576" s="50"/>
    </row>
    <row r="577" spans="1:26" ht="15.75">
      <c r="A577" s="1"/>
      <c r="X577" s="3"/>
      <c r="Y577" s="3"/>
      <c r="Z577" s="50"/>
    </row>
    <row r="578" spans="1:26" ht="15.75">
      <c r="A578" s="1"/>
      <c r="X578" s="3"/>
      <c r="Y578" s="3"/>
      <c r="Z578" s="50"/>
    </row>
    <row r="579" spans="1:26" ht="15.75">
      <c r="A579" s="1"/>
      <c r="X579" s="3"/>
      <c r="Y579" s="3"/>
      <c r="Z579" s="50"/>
    </row>
    <row r="580" spans="1:26" ht="15.75">
      <c r="A580" s="1"/>
      <c r="X580" s="3"/>
      <c r="Y580" s="3"/>
      <c r="Z580" s="50"/>
    </row>
    <row r="581" spans="1:26" ht="15.75">
      <c r="A581" s="1"/>
      <c r="X581" s="3"/>
      <c r="Y581" s="3"/>
      <c r="Z581" s="50"/>
    </row>
    <row r="582" spans="1:26" ht="15.75">
      <c r="A582" s="1"/>
      <c r="X582" s="3"/>
      <c r="Y582" s="3"/>
      <c r="Z582" s="50"/>
    </row>
    <row r="583" spans="1:26" ht="15.75">
      <c r="A583" s="1"/>
      <c r="X583" s="3"/>
      <c r="Y583" s="3"/>
      <c r="Z583" s="50"/>
    </row>
    <row r="584" spans="1:26" ht="15.75">
      <c r="A584" s="1"/>
      <c r="X584" s="3"/>
      <c r="Y584" s="3"/>
      <c r="Z584" s="50"/>
    </row>
    <row r="585" spans="1:26" ht="15.75">
      <c r="A585" s="1"/>
      <c r="X585" s="3"/>
      <c r="Y585" s="3"/>
      <c r="Z585" s="50"/>
    </row>
    <row r="586" spans="1:26" ht="15.75">
      <c r="A586" s="1"/>
      <c r="X586" s="3"/>
      <c r="Y586" s="3"/>
      <c r="Z586" s="50"/>
    </row>
    <row r="587" spans="1:26" ht="15.75">
      <c r="A587" s="1"/>
      <c r="X587" s="3"/>
      <c r="Y587" s="3"/>
      <c r="Z587" s="50"/>
    </row>
    <row r="588" spans="1:26" ht="15.75">
      <c r="A588" s="1"/>
      <c r="X588" s="3"/>
      <c r="Y588" s="3"/>
      <c r="Z588" s="50"/>
    </row>
    <row r="589" spans="1:26" ht="15.75">
      <c r="A589" s="1"/>
      <c r="X589" s="3"/>
      <c r="Y589" s="3"/>
      <c r="Z589" s="50"/>
    </row>
    <row r="590" spans="1:26" ht="15.75">
      <c r="A590" s="1"/>
      <c r="X590" s="3"/>
      <c r="Y590" s="3"/>
      <c r="Z590" s="50"/>
    </row>
    <row r="591" spans="1:26" ht="15.75">
      <c r="A591" s="1"/>
      <c r="X591" s="3"/>
      <c r="Y591" s="3"/>
      <c r="Z591" s="50"/>
    </row>
    <row r="592" spans="1:26" ht="15.75">
      <c r="A592" s="1"/>
      <c r="X592" s="3"/>
      <c r="Y592" s="3"/>
      <c r="Z592" s="50"/>
    </row>
    <row r="593" spans="1:26" ht="15.75">
      <c r="A593" s="1"/>
      <c r="X593" s="3"/>
      <c r="Y593" s="3"/>
      <c r="Z593" s="50"/>
    </row>
    <row r="594" spans="1:26" ht="15.75">
      <c r="A594" s="1"/>
      <c r="X594" s="3"/>
      <c r="Y594" s="3"/>
      <c r="Z594" s="50"/>
    </row>
    <row r="595" spans="1:26" ht="15.75">
      <c r="A595" s="1"/>
      <c r="X595" s="3"/>
      <c r="Y595" s="3"/>
      <c r="Z595" s="50"/>
    </row>
    <row r="596" spans="1:26" ht="15.75">
      <c r="A596" s="1"/>
      <c r="X596" s="3"/>
      <c r="Y596" s="3"/>
      <c r="Z596" s="50"/>
    </row>
    <row r="597" spans="1:26" ht="15.75">
      <c r="A597" s="1"/>
      <c r="X597" s="3"/>
      <c r="Y597" s="3"/>
      <c r="Z597" s="50"/>
    </row>
    <row r="598" spans="1:26" ht="15.75">
      <c r="A598" s="1"/>
      <c r="X598" s="3"/>
      <c r="Y598" s="3"/>
      <c r="Z598" s="50"/>
    </row>
    <row r="599" spans="1:26" ht="15.75">
      <c r="A599" s="1"/>
      <c r="X599" s="3"/>
      <c r="Y599" s="3"/>
      <c r="Z599" s="50"/>
    </row>
    <row r="600" spans="1:26" ht="15.75">
      <c r="A600" s="1"/>
      <c r="X600" s="3"/>
      <c r="Y600" s="3"/>
      <c r="Z600" s="50"/>
    </row>
    <row r="601" spans="1:26" ht="15.75">
      <c r="A601" s="1"/>
      <c r="X601" s="3"/>
      <c r="Y601" s="3"/>
      <c r="Z601" s="50"/>
    </row>
    <row r="602" spans="1:26" ht="15.75">
      <c r="A602" s="1"/>
      <c r="X602" s="3"/>
      <c r="Y602" s="3"/>
      <c r="Z602" s="50"/>
    </row>
    <row r="603" spans="1:26" ht="15.75">
      <c r="A603" s="1"/>
      <c r="X603" s="3"/>
      <c r="Y603" s="3"/>
      <c r="Z603" s="50"/>
    </row>
    <row r="604" spans="1:26" ht="15.75">
      <c r="A604" s="1"/>
      <c r="X604" s="3"/>
      <c r="Y604" s="3"/>
      <c r="Z604" s="50"/>
    </row>
    <row r="605" spans="1:26" ht="15.75">
      <c r="A605" s="1"/>
      <c r="X605" s="3"/>
      <c r="Y605" s="3"/>
      <c r="Z605" s="50"/>
    </row>
    <row r="606" spans="1:26" ht="15.75">
      <c r="A606" s="1"/>
      <c r="X606" s="3"/>
      <c r="Y606" s="3"/>
      <c r="Z606" s="50"/>
    </row>
    <row r="607" spans="1:26" ht="15.75">
      <c r="A607" s="1"/>
      <c r="X607" s="3"/>
      <c r="Y607" s="3"/>
      <c r="Z607" s="50"/>
    </row>
    <row r="608" spans="1:26" ht="15.75">
      <c r="A608" s="1"/>
      <c r="X608" s="3"/>
      <c r="Y608" s="3"/>
      <c r="Z608" s="50"/>
    </row>
    <row r="609" spans="1:26" ht="15.75">
      <c r="A609" s="1"/>
      <c r="X609" s="3"/>
      <c r="Y609" s="3"/>
      <c r="Z609" s="50"/>
    </row>
    <row r="610" spans="1:26" ht="15.75">
      <c r="A610" s="1"/>
      <c r="X610" s="3"/>
      <c r="Y610" s="3"/>
      <c r="Z610" s="50"/>
    </row>
    <row r="611" spans="1:26" ht="15.75">
      <c r="A611" s="1"/>
      <c r="X611" s="3"/>
      <c r="Y611" s="3"/>
      <c r="Z611" s="50"/>
    </row>
    <row r="612" spans="1:26" ht="15.75">
      <c r="A612" s="1"/>
      <c r="X612" s="3"/>
      <c r="Y612" s="3"/>
      <c r="Z612" s="50"/>
    </row>
    <row r="613" spans="1:26" ht="15.75">
      <c r="A613" s="1"/>
      <c r="X613" s="3"/>
      <c r="Y613" s="3"/>
      <c r="Z613" s="50"/>
    </row>
    <row r="614" spans="1:26" ht="15.75">
      <c r="A614" s="1"/>
      <c r="X614" s="3"/>
      <c r="Y614" s="3"/>
      <c r="Z614" s="50"/>
    </row>
    <row r="615" spans="1:26" ht="15.75">
      <c r="A615" s="1"/>
      <c r="X615" s="3"/>
      <c r="Y615" s="3"/>
      <c r="Z615" s="50"/>
    </row>
    <row r="616" spans="1:26" ht="15.75">
      <c r="A616" s="1"/>
      <c r="X616" s="3"/>
      <c r="Y616" s="3"/>
      <c r="Z616" s="50"/>
    </row>
    <row r="617" spans="1:26" ht="15.75">
      <c r="A617" s="1"/>
      <c r="X617" s="3"/>
      <c r="Y617" s="3"/>
      <c r="Z617" s="50"/>
    </row>
    <row r="618" spans="1:26" ht="15.75">
      <c r="A618" s="1"/>
      <c r="X618" s="3"/>
      <c r="Y618" s="3"/>
      <c r="Z618" s="50"/>
    </row>
    <row r="619" spans="1:26" ht="15.75">
      <c r="A619" s="1"/>
      <c r="X619" s="3"/>
      <c r="Y619" s="3"/>
      <c r="Z619" s="50"/>
    </row>
    <row r="620" spans="1:26" ht="15.75">
      <c r="A620" s="1"/>
      <c r="X620" s="3"/>
      <c r="Y620" s="3"/>
      <c r="Z620" s="50"/>
    </row>
    <row r="621" spans="1:26" ht="15.75">
      <c r="A621" s="1"/>
      <c r="X621" s="3"/>
      <c r="Y621" s="3"/>
      <c r="Z621" s="50"/>
    </row>
    <row r="622" spans="1:26" ht="15.75">
      <c r="A622" s="1"/>
      <c r="X622" s="3"/>
      <c r="Y622" s="3"/>
      <c r="Z622" s="50"/>
    </row>
    <row r="623" spans="1:26" ht="15.75">
      <c r="A623" s="1"/>
      <c r="X623" s="3"/>
      <c r="Y623" s="3"/>
      <c r="Z623" s="50"/>
    </row>
    <row r="624" spans="1:26" ht="15.75">
      <c r="A624" s="1"/>
      <c r="X624" s="3"/>
      <c r="Y624" s="3"/>
      <c r="Z624" s="50"/>
    </row>
    <row r="625" spans="1:26" ht="15.75">
      <c r="A625" s="1"/>
      <c r="X625" s="3"/>
      <c r="Y625" s="3"/>
      <c r="Z625" s="50"/>
    </row>
    <row r="626" spans="1:26" ht="15.75">
      <c r="A626" s="1"/>
      <c r="X626" s="3"/>
      <c r="Y626" s="3"/>
      <c r="Z626" s="50"/>
    </row>
    <row r="627" spans="1:26" ht="15.75">
      <c r="A627" s="1"/>
      <c r="X627" s="3"/>
      <c r="Y627" s="3"/>
      <c r="Z627" s="50"/>
    </row>
    <row r="628" spans="1:26" ht="15.75">
      <c r="A628" s="1"/>
      <c r="X628" s="3"/>
      <c r="Y628" s="3"/>
      <c r="Z628" s="50"/>
    </row>
    <row r="629" spans="1:26" ht="15.75">
      <c r="A629" s="1"/>
      <c r="X629" s="3"/>
      <c r="Y629" s="3"/>
      <c r="Z629" s="50"/>
    </row>
    <row r="630" spans="1:26" ht="15.75">
      <c r="A630" s="1"/>
      <c r="X630" s="3"/>
      <c r="Y630" s="3"/>
      <c r="Z630" s="50"/>
    </row>
    <row r="631" spans="1:26" ht="15.75">
      <c r="A631" s="1"/>
      <c r="X631" s="3"/>
      <c r="Y631" s="3"/>
      <c r="Z631" s="50"/>
    </row>
    <row r="632" spans="1:26" ht="15.75">
      <c r="A632" s="1"/>
      <c r="X632" s="3"/>
      <c r="Y632" s="3"/>
      <c r="Z632" s="50"/>
    </row>
    <row r="633" spans="1:26" ht="15.75">
      <c r="A633" s="1"/>
      <c r="X633" s="3"/>
      <c r="Y633" s="3"/>
      <c r="Z633" s="50"/>
    </row>
    <row r="634" spans="1:26" ht="15.75">
      <c r="A634" s="1"/>
      <c r="X634" s="3"/>
      <c r="Y634" s="3"/>
      <c r="Z634" s="50"/>
    </row>
    <row r="635" spans="1:26" ht="15.75">
      <c r="A635" s="1"/>
      <c r="X635" s="3"/>
      <c r="Y635" s="3"/>
      <c r="Z635" s="50"/>
    </row>
    <row r="636" spans="1:26" ht="15.75">
      <c r="A636" s="1"/>
      <c r="X636" s="3"/>
      <c r="Y636" s="3"/>
      <c r="Z636" s="50"/>
    </row>
    <row r="637" spans="1:26" ht="15.75">
      <c r="A637" s="1"/>
      <c r="X637" s="3"/>
      <c r="Y637" s="3"/>
      <c r="Z637" s="50"/>
    </row>
    <row r="638" spans="1:26" ht="15.75">
      <c r="A638" s="1"/>
      <c r="X638" s="3"/>
      <c r="Y638" s="3"/>
      <c r="Z638" s="50"/>
    </row>
    <row r="639" spans="1:26" ht="15.75">
      <c r="A639" s="1"/>
      <c r="X639" s="3"/>
      <c r="Y639" s="3"/>
      <c r="Z639" s="50"/>
    </row>
    <row r="640" spans="1:26" ht="15.75">
      <c r="A640" s="1"/>
      <c r="X640" s="3"/>
      <c r="Y640" s="3"/>
      <c r="Z640" s="50"/>
    </row>
    <row r="641" spans="1:26" ht="15.75">
      <c r="A641" s="1"/>
      <c r="X641" s="3"/>
      <c r="Y641" s="3"/>
      <c r="Z641" s="50"/>
    </row>
    <row r="642" spans="1:26" ht="15.75">
      <c r="A642" s="1"/>
      <c r="X642" s="3"/>
      <c r="Y642" s="3"/>
      <c r="Z642" s="50"/>
    </row>
    <row r="643" spans="1:26" ht="15.75">
      <c r="A643" s="1"/>
      <c r="X643" s="3"/>
      <c r="Y643" s="3"/>
      <c r="Z643" s="50"/>
    </row>
    <row r="644" spans="1:26" ht="15.75">
      <c r="A644" s="1"/>
      <c r="X644" s="3"/>
      <c r="Y644" s="3"/>
      <c r="Z644" s="50"/>
    </row>
    <row r="645" spans="1:26" ht="15.75">
      <c r="A645" s="1"/>
      <c r="X645" s="3"/>
      <c r="Y645" s="3"/>
      <c r="Z645" s="50"/>
    </row>
    <row r="646" spans="1:26" ht="15.75">
      <c r="A646" s="1"/>
      <c r="X646" s="3"/>
      <c r="Y646" s="3"/>
      <c r="Z646" s="50"/>
    </row>
    <row r="647" spans="1:26" ht="15.75">
      <c r="A647" s="1"/>
      <c r="X647" s="3"/>
      <c r="Y647" s="3"/>
      <c r="Z647" s="50"/>
    </row>
    <row r="648" spans="1:26" ht="15.75">
      <c r="A648" s="1"/>
      <c r="X648" s="3"/>
      <c r="Y648" s="3"/>
      <c r="Z648" s="50"/>
    </row>
    <row r="649" spans="1:26" ht="15.75">
      <c r="A649" s="1"/>
      <c r="X649" s="3"/>
      <c r="Y649" s="3"/>
      <c r="Z649" s="50"/>
    </row>
    <row r="650" spans="1:26" ht="15.75">
      <c r="A650" s="1"/>
      <c r="X650" s="3"/>
      <c r="Y650" s="3"/>
      <c r="Z650" s="50"/>
    </row>
    <row r="651" spans="1:26" ht="15.75">
      <c r="A651" s="1"/>
      <c r="X651" s="3"/>
      <c r="Y651" s="3"/>
      <c r="Z651" s="50"/>
    </row>
    <row r="652" spans="1:26" ht="15.75">
      <c r="A652" s="1"/>
      <c r="X652" s="3"/>
      <c r="Y652" s="3"/>
      <c r="Z652" s="50"/>
    </row>
    <row r="653" spans="1:26" ht="15.75">
      <c r="A653" s="1"/>
      <c r="X653" s="3"/>
      <c r="Y653" s="3"/>
      <c r="Z653" s="50"/>
    </row>
    <row r="654" spans="1:26" ht="15.75">
      <c r="A654" s="1"/>
      <c r="X654" s="3"/>
      <c r="Y654" s="3"/>
      <c r="Z654" s="50"/>
    </row>
    <row r="655" spans="1:26" ht="15.75">
      <c r="A655" s="1"/>
      <c r="X655" s="3"/>
      <c r="Y655" s="3"/>
      <c r="Z655" s="50"/>
    </row>
    <row r="656" spans="1:26" ht="15.75">
      <c r="A656" s="1"/>
      <c r="X656" s="3"/>
      <c r="Y656" s="3"/>
      <c r="Z656" s="50"/>
    </row>
    <row r="657" spans="1:26" ht="15.75">
      <c r="A657" s="1"/>
      <c r="X657" s="3"/>
      <c r="Y657" s="3"/>
      <c r="Z657" s="50"/>
    </row>
    <row r="658" spans="1:26" ht="15.75">
      <c r="A658" s="1"/>
      <c r="X658" s="3"/>
      <c r="Y658" s="3"/>
      <c r="Z658" s="50"/>
    </row>
    <row r="659" spans="1:26" ht="15.75">
      <c r="A659" s="1"/>
      <c r="X659" s="3"/>
      <c r="Y659" s="3"/>
      <c r="Z659" s="50"/>
    </row>
    <row r="660" spans="1:26" ht="15.75">
      <c r="A660" s="1"/>
      <c r="X660" s="3"/>
      <c r="Y660" s="3"/>
      <c r="Z660" s="50"/>
    </row>
    <row r="661" spans="1:26" ht="15.75">
      <c r="A661" s="1"/>
      <c r="X661" s="3"/>
      <c r="Y661" s="3"/>
      <c r="Z661" s="50"/>
    </row>
    <row r="662" spans="1:26" ht="15.75">
      <c r="A662" s="1"/>
      <c r="X662" s="3"/>
      <c r="Y662" s="3"/>
      <c r="Z662" s="50"/>
    </row>
    <row r="663" spans="1:26" ht="15.75">
      <c r="A663" s="1"/>
      <c r="X663" s="3"/>
      <c r="Y663" s="3"/>
      <c r="Z663" s="50"/>
    </row>
    <row r="664" spans="1:26" ht="15.75">
      <c r="A664" s="1"/>
      <c r="X664" s="3"/>
      <c r="Y664" s="3"/>
      <c r="Z664" s="50"/>
    </row>
    <row r="665" spans="1:26" ht="15.75">
      <c r="A665" s="1"/>
      <c r="X665" s="3"/>
      <c r="Y665" s="3"/>
      <c r="Z665" s="50"/>
    </row>
    <row r="666" spans="1:26" ht="15.75">
      <c r="A666" s="1"/>
      <c r="X666" s="3"/>
      <c r="Y666" s="3"/>
      <c r="Z666" s="50"/>
    </row>
    <row r="667" spans="1:26" ht="15.75">
      <c r="A667" s="1"/>
      <c r="X667" s="3"/>
      <c r="Y667" s="3"/>
      <c r="Z667" s="50"/>
    </row>
    <row r="668" spans="1:26" ht="15.75">
      <c r="A668" s="1"/>
      <c r="X668" s="3"/>
      <c r="Y668" s="3"/>
      <c r="Z668" s="50"/>
    </row>
    <row r="669" spans="1:26" ht="15.75">
      <c r="A669" s="1"/>
      <c r="X669" s="3"/>
      <c r="Y669" s="3"/>
      <c r="Z669" s="50"/>
    </row>
    <row r="670" spans="1:26" ht="15.75">
      <c r="A670" s="1"/>
      <c r="X670" s="3"/>
      <c r="Y670" s="3"/>
      <c r="Z670" s="50"/>
    </row>
    <row r="671" spans="1:26" ht="15.75">
      <c r="A671" s="1"/>
      <c r="X671" s="3"/>
      <c r="Y671" s="3"/>
      <c r="Z671" s="50"/>
    </row>
    <row r="672" spans="1:26" ht="15.75">
      <c r="A672" s="1"/>
      <c r="X672" s="3"/>
      <c r="Y672" s="3"/>
      <c r="Z672" s="50"/>
    </row>
    <row r="673" spans="1:26" ht="15.75">
      <c r="A673" s="1"/>
      <c r="X673" s="3"/>
      <c r="Y673" s="3"/>
      <c r="Z673" s="50"/>
    </row>
    <row r="674" spans="1:26" ht="15.75">
      <c r="A674" s="1"/>
      <c r="X674" s="3"/>
      <c r="Y674" s="3"/>
      <c r="Z674" s="50"/>
    </row>
    <row r="675" spans="1:26" ht="15.75">
      <c r="A675" s="1"/>
      <c r="X675" s="3"/>
      <c r="Y675" s="3"/>
      <c r="Z675" s="50"/>
    </row>
    <row r="676" spans="1:26" ht="15.75">
      <c r="A676" s="1"/>
      <c r="X676" s="3"/>
      <c r="Y676" s="3"/>
      <c r="Z676" s="50"/>
    </row>
    <row r="677" spans="1:26" ht="15.75">
      <c r="A677" s="1"/>
      <c r="X677" s="3"/>
      <c r="Y677" s="3"/>
      <c r="Z677" s="50"/>
    </row>
    <row r="678" spans="1:26" ht="15.75">
      <c r="A678" s="1"/>
      <c r="X678" s="3"/>
      <c r="Y678" s="3"/>
      <c r="Z678" s="50"/>
    </row>
    <row r="679" spans="1:26" ht="15.75">
      <c r="A679" s="1"/>
      <c r="X679" s="3"/>
      <c r="Y679" s="3"/>
      <c r="Z679" s="50"/>
    </row>
    <row r="680" spans="1:26" ht="15.75">
      <c r="A680" s="1"/>
      <c r="X680" s="3"/>
      <c r="Y680" s="3"/>
      <c r="Z680" s="50"/>
    </row>
    <row r="681" spans="1:26" ht="15.75">
      <c r="A681" s="1"/>
      <c r="X681" s="3"/>
      <c r="Y681" s="3"/>
      <c r="Z681" s="50"/>
    </row>
    <row r="682" spans="1:26" ht="15.75">
      <c r="A682" s="1"/>
      <c r="X682" s="3"/>
      <c r="Y682" s="3"/>
      <c r="Z682" s="50"/>
    </row>
    <row r="683" spans="1:26" ht="15.75">
      <c r="A683" s="1"/>
      <c r="X683" s="3"/>
      <c r="Y683" s="3"/>
      <c r="Z683" s="50"/>
    </row>
    <row r="684" spans="1:26" ht="15.75">
      <c r="A684" s="1"/>
      <c r="X684" s="3"/>
      <c r="Y684" s="3"/>
      <c r="Z684" s="50"/>
    </row>
    <row r="685" spans="1:26" ht="15.75">
      <c r="A685" s="1"/>
      <c r="X685" s="3"/>
      <c r="Y685" s="3"/>
      <c r="Z685" s="50"/>
    </row>
    <row r="686" spans="1:26" ht="15.75">
      <c r="A686" s="1"/>
      <c r="X686" s="3"/>
      <c r="Y686" s="3"/>
      <c r="Z686" s="50"/>
    </row>
    <row r="687" spans="1:26" ht="15.75">
      <c r="A687" s="1"/>
      <c r="X687" s="3"/>
      <c r="Y687" s="3"/>
      <c r="Z687" s="50"/>
    </row>
    <row r="688" spans="1:26" ht="15.75">
      <c r="A688" s="1"/>
      <c r="X688" s="3"/>
      <c r="Y688" s="3"/>
      <c r="Z688" s="50"/>
    </row>
    <row r="689" spans="1:26" ht="15.75">
      <c r="A689" s="1"/>
      <c r="X689" s="3"/>
      <c r="Y689" s="3"/>
      <c r="Z689" s="50"/>
    </row>
    <row r="690" spans="1:26" ht="15.75">
      <c r="A690" s="1"/>
      <c r="X690" s="3"/>
      <c r="Y690" s="3"/>
      <c r="Z690" s="50"/>
    </row>
    <row r="691" spans="1:26" ht="15.75">
      <c r="A691" s="1"/>
      <c r="X691" s="3"/>
      <c r="Y691" s="3"/>
      <c r="Z691" s="50"/>
    </row>
    <row r="692" spans="1:26" ht="15.75">
      <c r="A692" s="1"/>
      <c r="X692" s="3"/>
      <c r="Y692" s="3"/>
      <c r="Z692" s="50"/>
    </row>
    <row r="693" spans="1:26" ht="15.75">
      <c r="A693" s="1"/>
      <c r="X693" s="3"/>
      <c r="Y693" s="3"/>
      <c r="Z693" s="50"/>
    </row>
    <row r="694" spans="1:26" ht="15.75">
      <c r="A694" s="1"/>
      <c r="X694" s="3"/>
      <c r="Y694" s="3"/>
      <c r="Z694" s="50"/>
    </row>
    <row r="695" spans="1:26" ht="15.75">
      <c r="A695" s="1"/>
      <c r="X695" s="3"/>
      <c r="Y695" s="3"/>
      <c r="Z695" s="50"/>
    </row>
    <row r="696" spans="1:26" ht="15.75">
      <c r="A696" s="1"/>
      <c r="X696" s="3"/>
      <c r="Y696" s="3"/>
      <c r="Z696" s="50"/>
    </row>
    <row r="697" spans="1:26" ht="15.75">
      <c r="A697" s="1"/>
      <c r="X697" s="3"/>
      <c r="Y697" s="3"/>
      <c r="Z697" s="50"/>
    </row>
    <row r="698" spans="1:26" ht="15.75">
      <c r="A698" s="1"/>
      <c r="X698" s="3"/>
      <c r="Y698" s="3"/>
      <c r="Z698" s="50"/>
    </row>
    <row r="699" spans="1:26" ht="15.75">
      <c r="A699" s="1"/>
      <c r="X699" s="3"/>
      <c r="Y699" s="3"/>
      <c r="Z699" s="50"/>
    </row>
    <row r="700" spans="1:26" ht="15.75">
      <c r="A700" s="1"/>
      <c r="X700" s="3"/>
      <c r="Y700" s="3"/>
      <c r="Z700" s="50"/>
    </row>
    <row r="701" spans="1:26" ht="15.75">
      <c r="A701" s="1"/>
      <c r="X701" s="3"/>
      <c r="Y701" s="3"/>
      <c r="Z701" s="50"/>
    </row>
    <row r="702" spans="1:26" ht="15.75">
      <c r="A702" s="1"/>
      <c r="X702" s="3"/>
      <c r="Y702" s="3"/>
      <c r="Z702" s="50"/>
    </row>
    <row r="703" spans="1:26" ht="15.75">
      <c r="A703" s="1"/>
      <c r="X703" s="3"/>
      <c r="Y703" s="3"/>
      <c r="Z703" s="50"/>
    </row>
    <row r="704" spans="1:26" ht="15.75">
      <c r="A704" s="1"/>
      <c r="X704" s="3"/>
      <c r="Y704" s="3"/>
      <c r="Z704" s="50"/>
    </row>
    <row r="705" spans="1:26" ht="15.75">
      <c r="A705" s="1"/>
      <c r="X705" s="3"/>
      <c r="Y705" s="3"/>
      <c r="Z705" s="50"/>
    </row>
    <row r="706" spans="1:26" ht="15.75">
      <c r="A706" s="1"/>
      <c r="X706" s="3"/>
      <c r="Y706" s="3"/>
      <c r="Z706" s="50"/>
    </row>
    <row r="707" spans="1:26" ht="15.75">
      <c r="A707" s="1"/>
      <c r="X707" s="3"/>
      <c r="Y707" s="3"/>
      <c r="Z707" s="50"/>
    </row>
    <row r="708" spans="1:26" ht="15.75">
      <c r="A708" s="1"/>
      <c r="X708" s="3"/>
      <c r="Y708" s="3"/>
      <c r="Z708" s="50"/>
    </row>
    <row r="709" spans="1:26" ht="15.75">
      <c r="A709" s="1"/>
      <c r="X709" s="3"/>
      <c r="Y709" s="3"/>
      <c r="Z709" s="50"/>
    </row>
    <row r="710" spans="1:26" ht="15.75">
      <c r="A710" s="1"/>
      <c r="X710" s="3"/>
      <c r="Y710" s="3"/>
      <c r="Z710" s="50"/>
    </row>
    <row r="711" spans="1:26" ht="15.75">
      <c r="A711" s="1"/>
      <c r="X711" s="3"/>
      <c r="Y711" s="3"/>
      <c r="Z711" s="50"/>
    </row>
    <row r="712" spans="1:26" ht="15.75">
      <c r="A712" s="1"/>
      <c r="X712" s="3"/>
      <c r="Y712" s="3"/>
      <c r="Z712" s="50"/>
    </row>
    <row r="713" spans="1:26" ht="15.75">
      <c r="A713" s="1"/>
      <c r="X713" s="3"/>
      <c r="Y713" s="3"/>
      <c r="Z713" s="50"/>
    </row>
    <row r="714" spans="1:26" ht="15.75">
      <c r="A714" s="1"/>
      <c r="X714" s="3"/>
      <c r="Y714" s="3"/>
      <c r="Z714" s="50"/>
    </row>
    <row r="715" spans="1:26" ht="15.75">
      <c r="A715" s="1"/>
      <c r="X715" s="3"/>
      <c r="Y715" s="3"/>
      <c r="Z715" s="50"/>
    </row>
    <row r="716" spans="1:26" ht="15.75">
      <c r="A716" s="1"/>
      <c r="X716" s="3"/>
      <c r="Y716" s="3"/>
      <c r="Z716" s="50"/>
    </row>
    <row r="717" spans="1:26" ht="15.75">
      <c r="A717" s="1"/>
      <c r="X717" s="3"/>
      <c r="Y717" s="3"/>
      <c r="Z717" s="50"/>
    </row>
    <row r="718" spans="1:26" ht="15.75">
      <c r="A718" s="1"/>
      <c r="X718" s="3"/>
      <c r="Y718" s="3"/>
      <c r="Z718" s="50"/>
    </row>
    <row r="719" spans="1:26" ht="15.75">
      <c r="A719" s="1"/>
      <c r="X719" s="3"/>
      <c r="Y719" s="3"/>
      <c r="Z719" s="50"/>
    </row>
    <row r="720" spans="1:26" ht="15.75">
      <c r="A720" s="1"/>
      <c r="X720" s="3"/>
      <c r="Y720" s="3"/>
      <c r="Z720" s="50"/>
    </row>
    <row r="721" spans="1:26" ht="15.75">
      <c r="A721" s="1"/>
      <c r="X721" s="3"/>
      <c r="Y721" s="3"/>
      <c r="Z721" s="50"/>
    </row>
    <row r="722" spans="1:26" ht="15.75">
      <c r="A722" s="1"/>
      <c r="X722" s="3"/>
      <c r="Y722" s="3"/>
      <c r="Z722" s="50"/>
    </row>
    <row r="723" spans="1:26" ht="15.75">
      <c r="A723" s="1"/>
      <c r="X723" s="3"/>
      <c r="Y723" s="3"/>
      <c r="Z723" s="50"/>
    </row>
    <row r="724" spans="1:26" ht="15.75">
      <c r="A724" s="1"/>
      <c r="X724" s="3"/>
      <c r="Y724" s="3"/>
      <c r="Z724" s="50"/>
    </row>
    <row r="725" spans="1:26" ht="15.75">
      <c r="A725" s="1"/>
      <c r="X725" s="3"/>
      <c r="Y725" s="3"/>
      <c r="Z725" s="50"/>
    </row>
    <row r="726" spans="1:26" ht="15.75">
      <c r="A726" s="1"/>
      <c r="X726" s="3"/>
      <c r="Y726" s="3"/>
      <c r="Z726" s="50"/>
    </row>
    <row r="727" spans="1:26" ht="15.75">
      <c r="A727" s="1"/>
      <c r="X727" s="3"/>
      <c r="Y727" s="3"/>
      <c r="Z727" s="50"/>
    </row>
    <row r="728" spans="1:26" ht="15.75">
      <c r="A728" s="1"/>
      <c r="X728" s="3"/>
      <c r="Y728" s="3"/>
      <c r="Z728" s="50"/>
    </row>
    <row r="729" spans="1:26" ht="15.75">
      <c r="A729" s="1"/>
      <c r="X729" s="3"/>
      <c r="Y729" s="3"/>
      <c r="Z729" s="50"/>
    </row>
    <row r="730" spans="1:26" ht="15.75">
      <c r="A730" s="1"/>
      <c r="X730" s="3"/>
      <c r="Y730" s="3"/>
      <c r="Z730" s="50"/>
    </row>
    <row r="731" spans="1:26" ht="15.75">
      <c r="A731" s="1"/>
      <c r="X731" s="3"/>
      <c r="Y731" s="3"/>
      <c r="Z731" s="50"/>
    </row>
    <row r="732" spans="1:26" ht="15.75">
      <c r="A732" s="1"/>
      <c r="X732" s="3"/>
      <c r="Y732" s="3"/>
      <c r="Z732" s="50"/>
    </row>
    <row r="733" spans="1:26" ht="15.75">
      <c r="A733" s="1"/>
      <c r="X733" s="3"/>
      <c r="Y733" s="3"/>
      <c r="Z733" s="50"/>
    </row>
    <row r="734" spans="1:26" ht="15.75">
      <c r="A734" s="1"/>
      <c r="X734" s="3"/>
      <c r="Y734" s="3"/>
      <c r="Z734" s="50"/>
    </row>
    <row r="735" spans="1:26" ht="15.75">
      <c r="A735" s="1"/>
      <c r="X735" s="3"/>
      <c r="Y735" s="3"/>
      <c r="Z735" s="50"/>
    </row>
    <row r="736" spans="1:26" ht="15.75">
      <c r="A736" s="1"/>
      <c r="X736" s="3"/>
      <c r="Y736" s="3"/>
      <c r="Z736" s="50"/>
    </row>
    <row r="737" spans="1:26" ht="15.75">
      <c r="A737" s="1"/>
      <c r="X737" s="3"/>
      <c r="Y737" s="3"/>
      <c r="Z737" s="50"/>
    </row>
    <row r="738" spans="1:26" ht="15.75">
      <c r="A738" s="1"/>
      <c r="X738" s="3"/>
      <c r="Y738" s="3"/>
      <c r="Z738" s="50"/>
    </row>
    <row r="739" spans="1:26" ht="15.75">
      <c r="A739" s="1"/>
      <c r="X739" s="3"/>
      <c r="Y739" s="3"/>
      <c r="Z739" s="50"/>
    </row>
    <row r="740" spans="1:26" ht="15.75">
      <c r="A740" s="1"/>
      <c r="X740" s="3"/>
      <c r="Y740" s="3"/>
      <c r="Z740" s="50"/>
    </row>
    <row r="741" spans="1:26" ht="15.75">
      <c r="A741" s="1"/>
      <c r="X741" s="3"/>
      <c r="Y741" s="3"/>
      <c r="Z741" s="50"/>
    </row>
    <row r="742" spans="1:26" ht="15.75">
      <c r="A742" s="1"/>
      <c r="X742" s="3"/>
      <c r="Y742" s="3"/>
      <c r="Z742" s="50"/>
    </row>
    <row r="743" spans="1:26" ht="15.75">
      <c r="A743" s="1"/>
      <c r="X743" s="3"/>
      <c r="Y743" s="3"/>
      <c r="Z743" s="50"/>
    </row>
    <row r="744" spans="1:26" ht="15.75">
      <c r="A744" s="1"/>
      <c r="X744" s="3"/>
      <c r="Y744" s="3"/>
      <c r="Z744" s="50"/>
    </row>
    <row r="745" spans="1:26" ht="15.75">
      <c r="A745" s="1"/>
      <c r="X745" s="3"/>
      <c r="Y745" s="3"/>
      <c r="Z745" s="50"/>
    </row>
    <row r="746" spans="1:26" ht="15.75">
      <c r="A746" s="1"/>
      <c r="X746" s="3"/>
      <c r="Y746" s="3"/>
      <c r="Z746" s="50"/>
    </row>
    <row r="747" spans="1:26" ht="15.75">
      <c r="A747" s="1"/>
      <c r="X747" s="3"/>
      <c r="Y747" s="3"/>
      <c r="Z747" s="50"/>
    </row>
    <row r="748" spans="1:26" ht="15.75">
      <c r="A748" s="1"/>
      <c r="X748" s="3"/>
      <c r="Y748" s="3"/>
      <c r="Z748" s="50"/>
    </row>
    <row r="749" spans="1:26" ht="15.75">
      <c r="A749" s="1"/>
      <c r="X749" s="3"/>
      <c r="Y749" s="3"/>
      <c r="Z749" s="50"/>
    </row>
    <row r="750" spans="1:26" ht="15.75">
      <c r="A750" s="1"/>
      <c r="X750" s="3"/>
      <c r="Y750" s="3"/>
      <c r="Z750" s="50"/>
    </row>
    <row r="751" spans="1:26" ht="15.75">
      <c r="A751" s="1"/>
      <c r="X751" s="3"/>
      <c r="Y751" s="3"/>
      <c r="Z751" s="50"/>
    </row>
    <row r="752" spans="1:26" ht="15.75">
      <c r="A752" s="1"/>
      <c r="X752" s="3"/>
      <c r="Y752" s="3"/>
      <c r="Z752" s="50"/>
    </row>
    <row r="753" spans="1:26" ht="15.75">
      <c r="A753" s="1"/>
      <c r="X753" s="3"/>
      <c r="Y753" s="3"/>
      <c r="Z753" s="50"/>
    </row>
    <row r="754" spans="1:26" ht="15.75">
      <c r="A754" s="1"/>
      <c r="X754" s="3"/>
      <c r="Y754" s="3"/>
      <c r="Z754" s="50"/>
    </row>
    <row r="755" spans="1:26" ht="15.75">
      <c r="A755" s="1"/>
      <c r="X755" s="3"/>
      <c r="Y755" s="3"/>
      <c r="Z755" s="50"/>
    </row>
    <row r="756" spans="1:26" ht="15.75">
      <c r="A756" s="1"/>
      <c r="X756" s="3"/>
      <c r="Y756" s="3"/>
      <c r="Z756" s="50"/>
    </row>
    <row r="757" spans="1:26" ht="15.75">
      <c r="A757" s="1"/>
      <c r="X757" s="3"/>
      <c r="Y757" s="3"/>
      <c r="Z757" s="50"/>
    </row>
    <row r="758" spans="1:26" ht="15.75">
      <c r="A758" s="1"/>
      <c r="X758" s="3"/>
      <c r="Y758" s="3"/>
      <c r="Z758" s="50"/>
    </row>
    <row r="759" spans="1:26" ht="15.75">
      <c r="A759" s="1"/>
      <c r="X759" s="3"/>
      <c r="Y759" s="3"/>
      <c r="Z759" s="50"/>
    </row>
    <row r="760" spans="1:26" ht="15.75">
      <c r="A760" s="1"/>
      <c r="X760" s="3"/>
      <c r="Y760" s="3"/>
      <c r="Z760" s="50"/>
    </row>
    <row r="761" spans="1:26" ht="15.75">
      <c r="A761" s="1"/>
      <c r="X761" s="3"/>
      <c r="Y761" s="3"/>
      <c r="Z761" s="50"/>
    </row>
    <row r="762" spans="1:26" ht="15.75">
      <c r="A762" s="1"/>
      <c r="X762" s="3"/>
      <c r="Y762" s="3"/>
      <c r="Z762" s="50"/>
    </row>
    <row r="763" spans="1:26" ht="15.75">
      <c r="A763" s="1"/>
      <c r="X763" s="3"/>
      <c r="Y763" s="3"/>
      <c r="Z763" s="50"/>
    </row>
    <row r="764" spans="1:26" ht="15.75">
      <c r="A764" s="1"/>
      <c r="X764" s="3"/>
      <c r="Y764" s="3"/>
      <c r="Z764" s="50"/>
    </row>
    <row r="765" spans="1:26" ht="15.75">
      <c r="A765" s="1"/>
      <c r="X765" s="3"/>
      <c r="Y765" s="3"/>
      <c r="Z765" s="50"/>
    </row>
    <row r="766" spans="1:26" ht="15.75">
      <c r="A766" s="1"/>
      <c r="X766" s="3"/>
      <c r="Y766" s="3"/>
      <c r="Z766" s="50"/>
    </row>
    <row r="767" spans="1:26" ht="15.75">
      <c r="A767" s="1"/>
      <c r="X767" s="3"/>
      <c r="Y767" s="3"/>
      <c r="Z767" s="50"/>
    </row>
    <row r="768" spans="1:26" ht="15.75">
      <c r="A768" s="1"/>
      <c r="X768" s="3"/>
      <c r="Y768" s="3"/>
      <c r="Z768" s="50"/>
    </row>
    <row r="769" spans="1:26" ht="15.75">
      <c r="A769" s="1"/>
      <c r="X769" s="3"/>
      <c r="Y769" s="3"/>
      <c r="Z769" s="50"/>
    </row>
    <row r="770" spans="1:26" ht="15.75">
      <c r="A770" s="1"/>
      <c r="X770" s="3"/>
      <c r="Y770" s="3"/>
      <c r="Z770" s="50"/>
    </row>
    <row r="771" spans="1:26" ht="15.75">
      <c r="A771" s="1"/>
      <c r="X771" s="3"/>
      <c r="Y771" s="3"/>
      <c r="Z771" s="50"/>
    </row>
    <row r="772" spans="1:26" ht="15.75">
      <c r="A772" s="1"/>
      <c r="X772" s="3"/>
      <c r="Y772" s="3"/>
      <c r="Z772" s="50"/>
    </row>
    <row r="773" spans="1:26" ht="15.75">
      <c r="A773" s="1"/>
      <c r="X773" s="3"/>
      <c r="Y773" s="3"/>
      <c r="Z773" s="50"/>
    </row>
    <row r="774" spans="1:26" ht="15.75">
      <c r="A774" s="1"/>
      <c r="X774" s="3"/>
      <c r="Y774" s="3"/>
      <c r="Z774" s="50"/>
    </row>
    <row r="775" spans="1:26" ht="15.75">
      <c r="A775" s="1"/>
      <c r="X775" s="3"/>
      <c r="Y775" s="3"/>
      <c r="Z775" s="50"/>
    </row>
    <row r="776" spans="1:26" ht="15.75">
      <c r="A776" s="1"/>
      <c r="X776" s="3"/>
      <c r="Y776" s="3"/>
      <c r="Z776" s="50"/>
    </row>
    <row r="777" spans="1:26" ht="15.75">
      <c r="A777" s="1"/>
      <c r="X777" s="3"/>
      <c r="Y777" s="3"/>
      <c r="Z777" s="50"/>
    </row>
    <row r="778" spans="1:26" ht="15.75">
      <c r="A778" s="1"/>
      <c r="X778" s="3"/>
      <c r="Y778" s="3"/>
      <c r="Z778" s="50"/>
    </row>
    <row r="779" spans="1:26" ht="15.75">
      <c r="A779" s="1"/>
      <c r="X779" s="3"/>
      <c r="Y779" s="3"/>
      <c r="Z779" s="50"/>
    </row>
    <row r="780" spans="1:26" ht="15.75">
      <c r="A780" s="1"/>
      <c r="X780" s="3"/>
      <c r="Y780" s="3"/>
      <c r="Z780" s="50"/>
    </row>
    <row r="781" spans="1:26" ht="15.75">
      <c r="A781" s="1"/>
      <c r="X781" s="3"/>
      <c r="Y781" s="3"/>
      <c r="Z781" s="50"/>
    </row>
    <row r="782" spans="1:26" ht="15.75">
      <c r="A782" s="1"/>
      <c r="X782" s="3"/>
      <c r="Y782" s="3"/>
      <c r="Z782" s="50"/>
    </row>
    <row r="783" spans="1:26" ht="15.75">
      <c r="A783" s="1"/>
      <c r="X783" s="3"/>
      <c r="Y783" s="3"/>
      <c r="Z783" s="50"/>
    </row>
    <row r="784" spans="1:26" ht="15.75">
      <c r="A784" s="1"/>
      <c r="X784" s="3"/>
      <c r="Y784" s="3"/>
      <c r="Z784" s="50"/>
    </row>
    <row r="785" spans="1:26" ht="15.75">
      <c r="A785" s="1"/>
      <c r="X785" s="3"/>
      <c r="Y785" s="3"/>
      <c r="Z785" s="50"/>
    </row>
    <row r="786" spans="1:26" ht="15.75">
      <c r="A786" s="1"/>
      <c r="X786" s="3"/>
      <c r="Y786" s="3"/>
      <c r="Z786" s="50"/>
    </row>
    <row r="787" spans="1:26" ht="15.75">
      <c r="A787" s="1"/>
      <c r="X787" s="3"/>
      <c r="Y787" s="3"/>
      <c r="Z787" s="50"/>
    </row>
    <row r="788" spans="1:26" ht="15.75">
      <c r="A788" s="1"/>
      <c r="X788" s="3"/>
      <c r="Y788" s="3"/>
      <c r="Z788" s="50"/>
    </row>
    <row r="789" spans="1:26" ht="15.75">
      <c r="A789" s="1"/>
      <c r="X789" s="3"/>
      <c r="Y789" s="3"/>
      <c r="Z789" s="50"/>
    </row>
    <row r="790" spans="1:26" ht="15.75">
      <c r="A790" s="1"/>
      <c r="X790" s="3"/>
      <c r="Y790" s="3"/>
      <c r="Z790" s="50"/>
    </row>
    <row r="791" spans="1:26" ht="15.75">
      <c r="A791" s="1"/>
      <c r="X791" s="3"/>
      <c r="Y791" s="3"/>
      <c r="Z791" s="50"/>
    </row>
    <row r="792" spans="1:26" ht="15.75">
      <c r="A792" s="1"/>
      <c r="X792" s="3"/>
      <c r="Y792" s="3"/>
      <c r="Z792" s="50"/>
    </row>
    <row r="793" spans="1:26" ht="15.75">
      <c r="A793" s="1"/>
      <c r="X793" s="3"/>
      <c r="Y793" s="3"/>
      <c r="Z793" s="50"/>
    </row>
    <row r="794" spans="1:26" ht="15.75">
      <c r="A794" s="1"/>
      <c r="X794" s="3"/>
      <c r="Y794" s="3"/>
      <c r="Z794" s="50"/>
    </row>
    <row r="795" spans="1:26" ht="15.75">
      <c r="A795" s="1"/>
      <c r="X795" s="3"/>
      <c r="Y795" s="3"/>
      <c r="Z795" s="50"/>
    </row>
    <row r="796" spans="1:26" ht="15.75">
      <c r="A796" s="1"/>
      <c r="X796" s="3"/>
      <c r="Y796" s="3"/>
      <c r="Z796" s="50"/>
    </row>
    <row r="797" spans="1:26" ht="15.75">
      <c r="A797" s="1"/>
      <c r="X797" s="3"/>
      <c r="Y797" s="3"/>
      <c r="Z797" s="50"/>
    </row>
    <row r="798" spans="1:26" ht="15.75">
      <c r="A798" s="1"/>
      <c r="X798" s="3"/>
      <c r="Y798" s="3"/>
      <c r="Z798" s="50"/>
    </row>
    <row r="799" spans="1:26" ht="15.75">
      <c r="A799" s="1"/>
      <c r="X799" s="3"/>
      <c r="Y799" s="3"/>
      <c r="Z799" s="50"/>
    </row>
    <row r="800" spans="1:26" ht="15.75">
      <c r="A800" s="1"/>
      <c r="X800" s="3"/>
      <c r="Y800" s="3"/>
      <c r="Z800" s="50"/>
    </row>
    <row r="801" spans="1:26" ht="15.75">
      <c r="A801" s="1"/>
      <c r="X801" s="3"/>
      <c r="Y801" s="3"/>
      <c r="Z801" s="50"/>
    </row>
    <row r="802" spans="1:26" ht="15.75">
      <c r="A802" s="1"/>
      <c r="X802" s="3"/>
      <c r="Y802" s="3"/>
      <c r="Z802" s="50"/>
    </row>
    <row r="803" spans="1:26" ht="15.75">
      <c r="A803" s="1"/>
      <c r="X803" s="3"/>
      <c r="Y803" s="3"/>
      <c r="Z803" s="50"/>
    </row>
    <row r="804" spans="1:26" ht="15.75">
      <c r="A804" s="1"/>
      <c r="X804" s="3"/>
      <c r="Y804" s="3"/>
      <c r="Z804" s="50"/>
    </row>
    <row r="805" spans="1:26" ht="15.75">
      <c r="A805" s="1"/>
      <c r="X805" s="3"/>
      <c r="Y805" s="3"/>
      <c r="Z805" s="50"/>
    </row>
    <row r="806" spans="1:26" ht="15.75">
      <c r="A806" s="1"/>
      <c r="X806" s="3"/>
      <c r="Y806" s="3"/>
      <c r="Z806" s="50"/>
    </row>
    <row r="807" spans="1:26" ht="15.75">
      <c r="A807" s="1"/>
      <c r="X807" s="3"/>
      <c r="Y807" s="3"/>
      <c r="Z807" s="50"/>
    </row>
    <row r="808" spans="1:26" ht="15.75">
      <c r="A808" s="1"/>
      <c r="X808" s="3"/>
      <c r="Y808" s="3"/>
      <c r="Z808" s="50"/>
    </row>
    <row r="809" spans="1:26" ht="15.75">
      <c r="A809" s="1"/>
      <c r="X809" s="3"/>
      <c r="Y809" s="3"/>
      <c r="Z809" s="50"/>
    </row>
    <row r="810" spans="1:26" ht="15.75">
      <c r="A810" s="1"/>
      <c r="X810" s="3"/>
      <c r="Y810" s="3"/>
      <c r="Z810" s="50"/>
    </row>
    <row r="811" spans="1:26" ht="15.75">
      <c r="A811" s="1"/>
      <c r="X811" s="3"/>
      <c r="Y811" s="3"/>
      <c r="Z811" s="50"/>
    </row>
    <row r="812" spans="1:26" ht="15.75">
      <c r="A812" s="1"/>
      <c r="X812" s="3"/>
      <c r="Y812" s="3"/>
      <c r="Z812" s="50"/>
    </row>
    <row r="813" spans="1:26" ht="15.75">
      <c r="A813" s="1"/>
      <c r="X813" s="3"/>
      <c r="Y813" s="3"/>
      <c r="Z813" s="50"/>
    </row>
    <row r="814" spans="1:26" ht="15.75">
      <c r="A814" s="1"/>
      <c r="X814" s="3"/>
      <c r="Y814" s="3"/>
      <c r="Z814" s="50"/>
    </row>
    <row r="815" spans="1:26" ht="15.75">
      <c r="A815" s="1"/>
      <c r="X815" s="3"/>
      <c r="Y815" s="3"/>
      <c r="Z815" s="50"/>
    </row>
    <row r="816" spans="1:26" ht="15.75">
      <c r="A816" s="1"/>
      <c r="X816" s="3"/>
      <c r="Y816" s="3"/>
      <c r="Z816" s="50"/>
    </row>
    <row r="817" spans="1:26" ht="15.75">
      <c r="A817" s="1"/>
      <c r="X817" s="3"/>
      <c r="Y817" s="3"/>
      <c r="Z817" s="50"/>
    </row>
    <row r="818" spans="1:26" ht="15.75">
      <c r="A818" s="1"/>
      <c r="X818" s="3"/>
      <c r="Y818" s="3"/>
      <c r="Z818" s="50"/>
    </row>
    <row r="819" spans="1:26" ht="15.75">
      <c r="A819" s="1"/>
      <c r="X819" s="3"/>
      <c r="Y819" s="3"/>
      <c r="Z819" s="50"/>
    </row>
    <row r="820" spans="1:26" ht="15.75">
      <c r="A820" s="1"/>
      <c r="X820" s="3"/>
      <c r="Y820" s="3"/>
      <c r="Z820" s="50"/>
    </row>
    <row r="821" spans="1:26" ht="15.75">
      <c r="A821" s="1"/>
      <c r="X821" s="3"/>
      <c r="Y821" s="3"/>
      <c r="Z821" s="50"/>
    </row>
    <row r="822" spans="1:26" ht="15.75">
      <c r="A822" s="1"/>
      <c r="X822" s="3"/>
      <c r="Y822" s="3"/>
      <c r="Z822" s="50"/>
    </row>
    <row r="823" spans="1:26" ht="15.75">
      <c r="A823" s="1"/>
      <c r="X823" s="3"/>
      <c r="Y823" s="3"/>
      <c r="Z823" s="50"/>
    </row>
    <row r="824" spans="1:26" ht="15.75">
      <c r="A824" s="1"/>
      <c r="X824" s="3"/>
      <c r="Y824" s="3"/>
      <c r="Z824" s="50"/>
    </row>
    <row r="825" spans="1:26" ht="15.75">
      <c r="A825" s="1"/>
      <c r="X825" s="3"/>
      <c r="Y825" s="3"/>
      <c r="Z825" s="50"/>
    </row>
    <row r="826" spans="1:26" ht="15.75">
      <c r="A826" s="1"/>
      <c r="X826" s="3"/>
      <c r="Y826" s="3"/>
      <c r="Z826" s="50"/>
    </row>
    <row r="827" spans="1:26" ht="15.75">
      <c r="A827" s="1"/>
      <c r="X827" s="3"/>
      <c r="Y827" s="3"/>
      <c r="Z827" s="50"/>
    </row>
    <row r="828" spans="1:26" ht="15.75">
      <c r="A828" s="1"/>
      <c r="X828" s="3"/>
      <c r="Y828" s="3"/>
      <c r="Z828" s="50"/>
    </row>
    <row r="829" spans="1:26" ht="15.75">
      <c r="A829" s="1"/>
      <c r="X829" s="3"/>
      <c r="Y829" s="3"/>
      <c r="Z829" s="50"/>
    </row>
    <row r="830" spans="1:26" ht="15.75">
      <c r="A830" s="1"/>
      <c r="X830" s="3"/>
      <c r="Y830" s="3"/>
      <c r="Z830" s="50"/>
    </row>
    <row r="831" spans="1:26" ht="15.75">
      <c r="A831" s="1"/>
      <c r="X831" s="3"/>
      <c r="Y831" s="3"/>
      <c r="Z831" s="50"/>
    </row>
    <row r="832" spans="1:26" ht="15.75">
      <c r="A832" s="1"/>
      <c r="X832" s="3"/>
      <c r="Y832" s="3"/>
      <c r="Z832" s="50"/>
    </row>
    <row r="833" spans="1:26" ht="15.75">
      <c r="A833" s="1"/>
      <c r="X833" s="3"/>
      <c r="Y833" s="3"/>
      <c r="Z833" s="50"/>
    </row>
    <row r="834" spans="1:26" ht="15.75">
      <c r="A834" s="1"/>
      <c r="X834" s="3"/>
      <c r="Y834" s="3"/>
      <c r="Z834" s="50"/>
    </row>
    <row r="835" spans="1:26" ht="15.75">
      <c r="A835" s="1"/>
      <c r="X835" s="3"/>
      <c r="Y835" s="3"/>
      <c r="Z835" s="50"/>
    </row>
    <row r="836" spans="1:26" ht="15.75">
      <c r="A836" s="1"/>
      <c r="X836" s="3"/>
      <c r="Y836" s="3"/>
      <c r="Z836" s="50"/>
    </row>
    <row r="837" spans="1:26" ht="15.75">
      <c r="A837" s="1"/>
      <c r="X837" s="3"/>
      <c r="Y837" s="3"/>
      <c r="Z837" s="50"/>
    </row>
    <row r="838" spans="1:26" ht="15.75">
      <c r="A838" s="1"/>
      <c r="X838" s="3"/>
      <c r="Y838" s="3"/>
      <c r="Z838" s="50"/>
    </row>
    <row r="839" spans="1:26" ht="15.75">
      <c r="A839" s="1"/>
      <c r="X839" s="3"/>
      <c r="Y839" s="3"/>
      <c r="Z839" s="50"/>
    </row>
    <row r="840" spans="1:26" ht="15.75">
      <c r="A840" s="1"/>
      <c r="X840" s="3"/>
      <c r="Y840" s="3"/>
      <c r="Z840" s="50"/>
    </row>
    <row r="841" spans="1:26" ht="15.75">
      <c r="A841" s="1"/>
      <c r="X841" s="3"/>
      <c r="Y841" s="3"/>
      <c r="Z841" s="50"/>
    </row>
    <row r="842" spans="1:26" ht="15.75">
      <c r="A842" s="1"/>
      <c r="X842" s="3"/>
      <c r="Y842" s="3"/>
      <c r="Z842" s="50"/>
    </row>
    <row r="843" spans="1:26" ht="15.75">
      <c r="A843" s="1"/>
      <c r="X843" s="3"/>
      <c r="Y843" s="3"/>
      <c r="Z843" s="50"/>
    </row>
    <row r="844" spans="1:26" ht="15.75">
      <c r="A844" s="1"/>
      <c r="X844" s="3"/>
      <c r="Y844" s="3"/>
      <c r="Z844" s="50"/>
    </row>
    <row r="845" spans="1:26" ht="15.75">
      <c r="A845" s="1"/>
      <c r="X845" s="3"/>
      <c r="Y845" s="3"/>
      <c r="Z845" s="50"/>
    </row>
    <row r="846" spans="1:26" ht="15.75">
      <c r="A846" s="1"/>
      <c r="X846" s="3"/>
      <c r="Y846" s="3"/>
      <c r="Z846" s="50"/>
    </row>
    <row r="847" spans="1:26" ht="15.75">
      <c r="A847" s="1"/>
      <c r="X847" s="3"/>
      <c r="Y847" s="3"/>
      <c r="Z847" s="50"/>
    </row>
    <row r="848" spans="1:26" ht="15.75">
      <c r="A848" s="1"/>
      <c r="X848" s="3"/>
      <c r="Y848" s="3"/>
      <c r="Z848" s="50"/>
    </row>
    <row r="849" spans="1:26" ht="15.75">
      <c r="A849" s="1"/>
      <c r="X849" s="3"/>
      <c r="Y849" s="3"/>
      <c r="Z849" s="50"/>
    </row>
    <row r="850" spans="1:26" ht="15.75">
      <c r="A850" s="1"/>
      <c r="X850" s="3"/>
      <c r="Y850" s="3"/>
      <c r="Z850" s="50"/>
    </row>
    <row r="851" spans="1:26" ht="15.75">
      <c r="A851" s="1"/>
      <c r="X851" s="3"/>
      <c r="Y851" s="3"/>
      <c r="Z851" s="50"/>
    </row>
    <row r="852" spans="1:26" ht="15.75">
      <c r="A852" s="1"/>
      <c r="X852" s="3"/>
      <c r="Y852" s="3"/>
      <c r="Z852" s="50"/>
    </row>
    <row r="853" spans="1:26" ht="15.75">
      <c r="A853" s="1"/>
      <c r="X853" s="3"/>
      <c r="Y853" s="3"/>
      <c r="Z853" s="50"/>
    </row>
    <row r="854" spans="1:26" ht="15.75">
      <c r="A854" s="1"/>
      <c r="X854" s="3"/>
      <c r="Y854" s="3"/>
      <c r="Z854" s="50"/>
    </row>
    <row r="855" spans="1:26" ht="15.75">
      <c r="A855" s="1"/>
      <c r="X855" s="3"/>
      <c r="Y855" s="3"/>
      <c r="Z855" s="50"/>
    </row>
    <row r="856" spans="1:26" ht="15.75">
      <c r="A856" s="1"/>
      <c r="X856" s="3"/>
      <c r="Y856" s="3"/>
      <c r="Z856" s="50"/>
    </row>
    <row r="857" spans="1:26" ht="15.75">
      <c r="A857" s="1"/>
      <c r="X857" s="3"/>
      <c r="Y857" s="3"/>
      <c r="Z857" s="50"/>
    </row>
    <row r="858" spans="1:26" ht="15.75">
      <c r="A858" s="1"/>
      <c r="X858" s="3"/>
      <c r="Y858" s="3"/>
      <c r="Z858" s="50"/>
    </row>
    <row r="859" spans="1:26" ht="15.75">
      <c r="A859" s="1"/>
      <c r="X859" s="3"/>
      <c r="Y859" s="3"/>
      <c r="Z859" s="50"/>
    </row>
    <row r="860" spans="1:26" ht="15.75">
      <c r="A860" s="1"/>
      <c r="X860" s="3"/>
      <c r="Y860" s="3"/>
      <c r="Z860" s="50"/>
    </row>
    <row r="861" spans="1:26" ht="15.75">
      <c r="A861" s="1"/>
      <c r="X861" s="3"/>
      <c r="Y861" s="3"/>
      <c r="Z861" s="50"/>
    </row>
    <row r="862" spans="1:26" ht="15.75">
      <c r="A862" s="1"/>
      <c r="X862" s="3"/>
      <c r="Y862" s="3"/>
      <c r="Z862" s="50"/>
    </row>
    <row r="863" spans="1:26" ht="15.75">
      <c r="A863" s="1"/>
      <c r="X863" s="3"/>
      <c r="Y863" s="3"/>
      <c r="Z863" s="50"/>
    </row>
    <row r="864" spans="1:26" ht="15.75">
      <c r="A864" s="1"/>
      <c r="X864" s="3"/>
      <c r="Y864" s="3"/>
      <c r="Z864" s="50"/>
    </row>
    <row r="865" spans="1:26" ht="15.75">
      <c r="A865" s="1"/>
      <c r="X865" s="3"/>
      <c r="Y865" s="3"/>
      <c r="Z865" s="50"/>
    </row>
    <row r="866" spans="1:26" ht="15.75">
      <c r="A866" s="1"/>
      <c r="X866" s="3"/>
      <c r="Y866" s="3"/>
      <c r="Z866" s="50"/>
    </row>
    <row r="867" spans="1:26" ht="15.75">
      <c r="A867" s="1"/>
      <c r="X867" s="3"/>
      <c r="Y867" s="3"/>
      <c r="Z867" s="50"/>
    </row>
    <row r="868" spans="1:26" ht="15.75">
      <c r="A868" s="1"/>
      <c r="X868" s="3"/>
      <c r="Y868" s="3"/>
      <c r="Z868" s="50"/>
    </row>
    <row r="869" spans="1:26" ht="15.75">
      <c r="A869" s="1"/>
      <c r="X869" s="3"/>
      <c r="Y869" s="3"/>
      <c r="Z869" s="50"/>
    </row>
    <row r="870" spans="1:26" ht="15.75">
      <c r="A870" s="1"/>
      <c r="X870" s="3"/>
      <c r="Y870" s="3"/>
      <c r="Z870" s="50"/>
    </row>
    <row r="871" spans="1:26" ht="15.75">
      <c r="A871" s="1"/>
      <c r="X871" s="3"/>
      <c r="Y871" s="3"/>
      <c r="Z871" s="50"/>
    </row>
    <row r="872" spans="1:26" ht="15.75">
      <c r="A872" s="1"/>
      <c r="X872" s="3"/>
      <c r="Y872" s="3"/>
      <c r="Z872" s="50"/>
    </row>
    <row r="873" spans="1:26" ht="15.75">
      <c r="A873" s="1"/>
      <c r="X873" s="3"/>
      <c r="Y873" s="3"/>
      <c r="Z873" s="50"/>
    </row>
    <row r="874" spans="1:26" ht="15.75">
      <c r="A874" s="1"/>
      <c r="X874" s="3"/>
      <c r="Y874" s="3"/>
      <c r="Z874" s="50"/>
    </row>
    <row r="875" spans="1:26" ht="15.75">
      <c r="A875" s="1"/>
      <c r="X875" s="3"/>
      <c r="Y875" s="3"/>
      <c r="Z875" s="50"/>
    </row>
    <row r="876" spans="1:26" ht="15.75">
      <c r="A876" s="1"/>
      <c r="X876" s="3"/>
      <c r="Y876" s="3"/>
      <c r="Z876" s="50"/>
    </row>
    <row r="877" spans="1:26" ht="15.75">
      <c r="A877" s="1"/>
      <c r="X877" s="3"/>
      <c r="Y877" s="3"/>
      <c r="Z877" s="50"/>
    </row>
    <row r="878" spans="1:26" ht="15.75">
      <c r="A878" s="1"/>
      <c r="X878" s="3"/>
      <c r="Y878" s="3"/>
      <c r="Z878" s="50"/>
    </row>
    <row r="879" spans="1:26" ht="15.75">
      <c r="A879" s="1"/>
      <c r="X879" s="3"/>
      <c r="Y879" s="3"/>
      <c r="Z879" s="50"/>
    </row>
    <row r="880" spans="1:26" ht="15.75">
      <c r="A880" s="1"/>
      <c r="X880" s="3"/>
      <c r="Y880" s="3"/>
      <c r="Z880" s="50"/>
    </row>
    <row r="881" spans="1:26" ht="15.75">
      <c r="A881" s="1"/>
      <c r="X881" s="3"/>
      <c r="Y881" s="3"/>
      <c r="Z881" s="50"/>
    </row>
    <row r="882" spans="1:26" ht="15.75">
      <c r="A882" s="1"/>
      <c r="X882" s="3"/>
      <c r="Y882" s="3"/>
      <c r="Z882" s="50"/>
    </row>
    <row r="883" spans="1:26" ht="15.75">
      <c r="A883" s="1"/>
      <c r="X883" s="3"/>
      <c r="Y883" s="3"/>
      <c r="Z883" s="50"/>
    </row>
    <row r="884" spans="1:26" ht="15.75">
      <c r="A884" s="1"/>
      <c r="X884" s="3"/>
      <c r="Y884" s="3"/>
      <c r="Z884" s="50"/>
    </row>
    <row r="885" spans="1:26" ht="15.75">
      <c r="A885" s="1"/>
      <c r="X885" s="3"/>
      <c r="Y885" s="3"/>
      <c r="Z885" s="50"/>
    </row>
    <row r="886" spans="1:26" ht="15.75">
      <c r="A886" s="1"/>
      <c r="X886" s="3"/>
      <c r="Y886" s="3"/>
      <c r="Z886" s="50"/>
    </row>
    <row r="887" spans="1:26" ht="15.75">
      <c r="A887" s="1"/>
      <c r="X887" s="3"/>
      <c r="Y887" s="3"/>
      <c r="Z887" s="50"/>
    </row>
    <row r="888" spans="1:26" ht="15.75">
      <c r="A888" s="1"/>
      <c r="X888" s="3"/>
      <c r="Y888" s="3"/>
      <c r="Z888" s="50"/>
    </row>
    <row r="889" spans="1:26" ht="15.75">
      <c r="A889" s="1"/>
      <c r="X889" s="3"/>
      <c r="Y889" s="3"/>
      <c r="Z889" s="50"/>
    </row>
    <row r="890" spans="1:26" ht="15.75">
      <c r="A890" s="1"/>
      <c r="X890" s="3"/>
      <c r="Y890" s="3"/>
      <c r="Z890" s="50"/>
    </row>
    <row r="891" spans="1:26" ht="15.75">
      <c r="A891" s="1"/>
      <c r="X891" s="3"/>
      <c r="Y891" s="3"/>
      <c r="Z891" s="50"/>
    </row>
    <row r="892" spans="1:26" ht="15.75">
      <c r="A892" s="1"/>
      <c r="X892" s="3"/>
      <c r="Y892" s="3"/>
      <c r="Z892" s="50"/>
    </row>
    <row r="893" spans="1:26" ht="15.75">
      <c r="A893" s="1"/>
      <c r="X893" s="3"/>
      <c r="Y893" s="3"/>
      <c r="Z893" s="50"/>
    </row>
    <row r="894" spans="1:26" ht="15.75">
      <c r="A894" s="1"/>
      <c r="X894" s="3"/>
      <c r="Y894" s="3"/>
      <c r="Z894" s="50"/>
    </row>
    <row r="895" spans="1:26" ht="15.75">
      <c r="A895" s="1"/>
      <c r="X895" s="3"/>
      <c r="Y895" s="3"/>
      <c r="Z895" s="50"/>
    </row>
    <row r="896" spans="1:26" ht="15.75">
      <c r="A896" s="1"/>
      <c r="X896" s="3"/>
      <c r="Y896" s="3"/>
      <c r="Z896" s="50"/>
    </row>
    <row r="897" spans="1:26" ht="15.75">
      <c r="A897" s="1"/>
      <c r="X897" s="3"/>
      <c r="Y897" s="3"/>
      <c r="Z897" s="50"/>
    </row>
    <row r="898" spans="1:26" ht="15.75">
      <c r="A898" s="1"/>
      <c r="X898" s="3"/>
      <c r="Y898" s="3"/>
      <c r="Z898" s="50"/>
    </row>
    <row r="899" spans="1:26" ht="15.75">
      <c r="A899" s="1"/>
      <c r="X899" s="3"/>
      <c r="Y899" s="3"/>
      <c r="Z899" s="50"/>
    </row>
    <row r="900" spans="1:26" ht="15.75">
      <c r="A900" s="1"/>
      <c r="X900" s="3"/>
      <c r="Y900" s="3"/>
      <c r="Z900" s="50"/>
    </row>
    <row r="901" spans="1:26" ht="15.75">
      <c r="A901" s="1"/>
      <c r="X901" s="3"/>
      <c r="Y901" s="3"/>
      <c r="Z901" s="50"/>
    </row>
    <row r="902" spans="1:26" ht="15.75">
      <c r="A902" s="1"/>
      <c r="X902" s="3"/>
      <c r="Y902" s="3"/>
      <c r="Z902" s="50"/>
    </row>
    <row r="903" spans="1:26" ht="15.75">
      <c r="A903" s="1"/>
      <c r="X903" s="3"/>
      <c r="Y903" s="3"/>
      <c r="Z903" s="50"/>
    </row>
    <row r="904" spans="1:26" ht="15.75">
      <c r="A904" s="1"/>
      <c r="X904" s="3"/>
      <c r="Y904" s="3"/>
      <c r="Z904" s="50"/>
    </row>
    <row r="905" spans="1:26" ht="15.75">
      <c r="A905" s="1"/>
      <c r="X905" s="3"/>
      <c r="Y905" s="3"/>
      <c r="Z905" s="50"/>
    </row>
    <row r="906" spans="1:26" ht="15.75">
      <c r="A906" s="1"/>
      <c r="X906" s="3"/>
      <c r="Y906" s="3"/>
      <c r="Z906" s="50"/>
    </row>
    <row r="907" spans="1:26" ht="15.75">
      <c r="A907" s="1"/>
      <c r="X907" s="3"/>
      <c r="Y907" s="3"/>
      <c r="Z907" s="50"/>
    </row>
    <row r="908" spans="1:26" ht="15.75">
      <c r="A908" s="1"/>
      <c r="X908" s="3"/>
      <c r="Y908" s="3"/>
      <c r="Z908" s="50"/>
    </row>
    <row r="909" spans="1:26" ht="15.75">
      <c r="A909" s="1"/>
      <c r="X909" s="3"/>
      <c r="Y909" s="3"/>
      <c r="Z909" s="50"/>
    </row>
    <row r="910" spans="1:26" ht="15.75">
      <c r="A910" s="1"/>
      <c r="X910" s="3"/>
      <c r="Y910" s="3"/>
      <c r="Z910" s="50"/>
    </row>
    <row r="911" spans="1:26" ht="15.75">
      <c r="A911" s="1"/>
      <c r="X911" s="3"/>
      <c r="Y911" s="3"/>
      <c r="Z911" s="50"/>
    </row>
    <row r="912" spans="1:26" ht="15.75">
      <c r="A912" s="1"/>
      <c r="X912" s="3"/>
      <c r="Y912" s="3"/>
      <c r="Z912" s="50"/>
    </row>
    <row r="913" spans="1:26" ht="15.75">
      <c r="A913" s="1"/>
      <c r="X913" s="3"/>
      <c r="Y913" s="3"/>
      <c r="Z913" s="50"/>
    </row>
    <row r="914" spans="1:26" ht="15.75">
      <c r="A914" s="1"/>
      <c r="X914" s="3"/>
      <c r="Y914" s="3"/>
      <c r="Z914" s="50"/>
    </row>
    <row r="915" spans="1:26" ht="15.75">
      <c r="A915" s="1"/>
      <c r="X915" s="3"/>
      <c r="Y915" s="3"/>
      <c r="Z915" s="50"/>
    </row>
    <row r="916" spans="1:26" ht="15.75">
      <c r="A916" s="1"/>
      <c r="X916" s="3"/>
      <c r="Y916" s="3"/>
      <c r="Z916" s="50"/>
    </row>
    <row r="917" spans="1:26" ht="15.75">
      <c r="A917" s="1"/>
      <c r="X917" s="3"/>
      <c r="Y917" s="3"/>
      <c r="Z917" s="50"/>
    </row>
    <row r="918" spans="1:26" ht="15.75">
      <c r="A918" s="1"/>
      <c r="X918" s="3"/>
      <c r="Y918" s="3"/>
      <c r="Z918" s="50"/>
    </row>
    <row r="919" spans="1:26" ht="15.75">
      <c r="A919" s="1"/>
      <c r="X919" s="3"/>
      <c r="Y919" s="3"/>
      <c r="Z919" s="50"/>
    </row>
    <row r="920" spans="1:26" ht="15.75">
      <c r="A920" s="1"/>
      <c r="X920" s="3"/>
      <c r="Y920" s="3"/>
      <c r="Z920" s="50"/>
    </row>
    <row r="921" spans="1:26" ht="15.75">
      <c r="A921" s="1"/>
      <c r="X921" s="3"/>
      <c r="Y921" s="3"/>
      <c r="Z921" s="50"/>
    </row>
    <row r="922" spans="1:26" ht="15.75">
      <c r="A922" s="1"/>
      <c r="X922" s="3"/>
      <c r="Y922" s="3"/>
      <c r="Z922" s="50"/>
    </row>
    <row r="923" spans="1:26" ht="15.75">
      <c r="A923" s="1"/>
      <c r="X923" s="3"/>
      <c r="Y923" s="3"/>
      <c r="Z923" s="50"/>
    </row>
    <row r="924" spans="1:26" ht="15.75">
      <c r="A924" s="1"/>
      <c r="X924" s="3"/>
      <c r="Y924" s="3"/>
      <c r="Z924" s="50"/>
    </row>
    <row r="925" spans="1:26" ht="15.75">
      <c r="A925" s="1"/>
      <c r="X925" s="3"/>
      <c r="Y925" s="3"/>
      <c r="Z925" s="50"/>
    </row>
    <row r="926" spans="1:26" ht="15.75">
      <c r="A926" s="1"/>
      <c r="X926" s="3"/>
      <c r="Y926" s="3"/>
      <c r="Z926" s="50"/>
    </row>
    <row r="927" spans="1:26" ht="15.75">
      <c r="A927" s="1"/>
      <c r="X927" s="3"/>
      <c r="Y927" s="3"/>
      <c r="Z927" s="50"/>
    </row>
    <row r="928" spans="1:26" ht="15.75">
      <c r="A928" s="1"/>
      <c r="X928" s="3"/>
      <c r="Y928" s="3"/>
      <c r="Z928" s="50"/>
    </row>
    <row r="929" spans="1:26" ht="15.75">
      <c r="A929" s="1"/>
      <c r="X929" s="3"/>
      <c r="Y929" s="3"/>
      <c r="Z929" s="50"/>
    </row>
    <row r="930" spans="1:26" ht="15.75">
      <c r="A930" s="1"/>
      <c r="X930" s="3"/>
      <c r="Y930" s="3"/>
      <c r="Z930" s="50"/>
    </row>
    <row r="931" spans="1:26" ht="15.75">
      <c r="A931" s="1"/>
      <c r="X931" s="3"/>
      <c r="Y931" s="3"/>
      <c r="Z931" s="50"/>
    </row>
    <row r="932" spans="1:26" ht="15.75">
      <c r="A932" s="1"/>
      <c r="X932" s="3"/>
      <c r="Y932" s="3"/>
      <c r="Z932" s="50"/>
    </row>
    <row r="933" spans="1:26" ht="15.75">
      <c r="A933" s="1"/>
      <c r="X933" s="3"/>
      <c r="Y933" s="3"/>
      <c r="Z933" s="50"/>
    </row>
    <row r="934" spans="1:26" ht="15.75">
      <c r="A934" s="1"/>
      <c r="X934" s="3"/>
      <c r="Y934" s="3"/>
      <c r="Z934" s="50"/>
    </row>
    <row r="935" spans="1:26" ht="15.75">
      <c r="A935" s="1"/>
      <c r="X935" s="3"/>
      <c r="Y935" s="3"/>
      <c r="Z935" s="50"/>
    </row>
    <row r="936" spans="1:26" ht="15.75">
      <c r="A936" s="1"/>
      <c r="X936" s="3"/>
      <c r="Y936" s="3"/>
      <c r="Z936" s="50"/>
    </row>
    <row r="937" spans="1:26" ht="15.75">
      <c r="A937" s="1"/>
      <c r="X937" s="3"/>
      <c r="Y937" s="3"/>
      <c r="Z937" s="50"/>
    </row>
    <row r="938" spans="1:26" ht="15.75">
      <c r="A938" s="1"/>
      <c r="X938" s="3"/>
      <c r="Y938" s="3"/>
      <c r="Z938" s="50"/>
    </row>
    <row r="939" spans="1:26" ht="15.75">
      <c r="A939" s="1"/>
      <c r="X939" s="3"/>
      <c r="Y939" s="3"/>
      <c r="Z939" s="50"/>
    </row>
    <row r="940" spans="1:26" ht="15.75">
      <c r="A940" s="1"/>
      <c r="X940" s="3"/>
      <c r="Y940" s="3"/>
      <c r="Z940" s="50"/>
    </row>
    <row r="941" spans="1:26" ht="15.75">
      <c r="A941" s="1"/>
      <c r="X941" s="3"/>
      <c r="Y941" s="3"/>
      <c r="Z941" s="50"/>
    </row>
    <row r="942" spans="1:26" ht="15.75">
      <c r="A942" s="1"/>
      <c r="X942" s="3"/>
      <c r="Y942" s="3"/>
      <c r="Z942" s="50"/>
    </row>
    <row r="943" spans="1:26" ht="15.75">
      <c r="A943" s="1"/>
      <c r="X943" s="3"/>
      <c r="Y943" s="3"/>
      <c r="Z943" s="50"/>
    </row>
    <row r="944" spans="1:26" ht="15.75">
      <c r="A944" s="1"/>
      <c r="X944" s="3"/>
      <c r="Y944" s="3"/>
      <c r="Z944" s="50"/>
    </row>
    <row r="945" spans="1:26" ht="15.75">
      <c r="A945" s="1"/>
      <c r="X945" s="3"/>
      <c r="Y945" s="3"/>
      <c r="Z945" s="50"/>
    </row>
    <row r="946" spans="1:26" ht="15.75">
      <c r="A946" s="1"/>
      <c r="X946" s="3"/>
      <c r="Y946" s="3"/>
      <c r="Z946" s="50"/>
    </row>
    <row r="947" spans="1:26" ht="15.75">
      <c r="A947" s="1"/>
      <c r="X947" s="3"/>
      <c r="Y947" s="3"/>
      <c r="Z947" s="50"/>
    </row>
    <row r="948" spans="1:26" ht="15.75">
      <c r="A948" s="1"/>
      <c r="X948" s="3"/>
      <c r="Y948" s="3"/>
      <c r="Z948" s="50"/>
    </row>
    <row r="949" spans="1:26" ht="15.75">
      <c r="A949" s="1"/>
      <c r="X949" s="3"/>
      <c r="Y949" s="3"/>
      <c r="Z949" s="50"/>
    </row>
    <row r="950" spans="1:26" ht="15.75">
      <c r="A950" s="1"/>
      <c r="X950" s="3"/>
      <c r="Y950" s="3"/>
      <c r="Z950" s="50"/>
    </row>
    <row r="951" spans="1:26" ht="15.75">
      <c r="A951" s="1"/>
      <c r="X951" s="3"/>
      <c r="Y951" s="3"/>
      <c r="Z951" s="50"/>
    </row>
    <row r="952" spans="1:26" ht="15.75">
      <c r="A952" s="1"/>
      <c r="X952" s="3"/>
      <c r="Y952" s="3"/>
      <c r="Z952" s="50"/>
    </row>
    <row r="953" spans="1:26" ht="15.75">
      <c r="A953" s="1"/>
      <c r="X953" s="3"/>
      <c r="Y953" s="3"/>
      <c r="Z953" s="50"/>
    </row>
    <row r="954" spans="1:26" ht="15.75">
      <c r="A954" s="1"/>
      <c r="X954" s="3"/>
      <c r="Y954" s="3"/>
      <c r="Z954" s="50"/>
    </row>
    <row r="955" spans="1:26" ht="15.75">
      <c r="A955" s="1"/>
      <c r="X955" s="3"/>
      <c r="Y955" s="3"/>
      <c r="Z955" s="50"/>
    </row>
    <row r="956" spans="1:26" ht="15.75">
      <c r="A956" s="1"/>
      <c r="X956" s="3"/>
      <c r="Y956" s="3"/>
      <c r="Z956" s="50"/>
    </row>
    <row r="957" spans="1:26" ht="15.75">
      <c r="A957" s="1"/>
      <c r="X957" s="3"/>
      <c r="Y957" s="3"/>
      <c r="Z957" s="50"/>
    </row>
    <row r="958" spans="1:26" ht="15.75">
      <c r="A958" s="1"/>
      <c r="X958" s="3"/>
      <c r="Y958" s="3"/>
      <c r="Z958" s="50"/>
    </row>
    <row r="959" spans="1:26" ht="15.75">
      <c r="A959" s="1"/>
      <c r="X959" s="3"/>
      <c r="Y959" s="3"/>
      <c r="Z959" s="50"/>
    </row>
    <row r="960" spans="1:26" ht="15.75">
      <c r="A960" s="1"/>
      <c r="X960" s="3"/>
      <c r="Y960" s="3"/>
      <c r="Z960" s="50"/>
    </row>
    <row r="961" spans="1:26" ht="15.75">
      <c r="A961" s="1"/>
      <c r="X961" s="3"/>
      <c r="Y961" s="3"/>
      <c r="Z961" s="50"/>
    </row>
    <row r="962" spans="1:26" ht="15.75">
      <c r="A962" s="1"/>
      <c r="X962" s="3"/>
      <c r="Y962" s="3"/>
      <c r="Z962" s="50"/>
    </row>
    <row r="963" spans="1:26" ht="15.75">
      <c r="A963" s="1"/>
      <c r="X963" s="3"/>
      <c r="Y963" s="3"/>
      <c r="Z963" s="50"/>
    </row>
    <row r="964" spans="1:26" ht="15.75">
      <c r="A964" s="1"/>
      <c r="X964" s="3"/>
      <c r="Y964" s="3"/>
      <c r="Z964" s="50"/>
    </row>
    <row r="965" spans="1:26" ht="15.75">
      <c r="A965" s="1"/>
      <c r="X965" s="3"/>
      <c r="Y965" s="3"/>
      <c r="Z965" s="50"/>
    </row>
    <row r="966" spans="1:26" ht="15.75">
      <c r="A966" s="1"/>
      <c r="X966" s="3"/>
      <c r="Y966" s="3"/>
      <c r="Z966" s="50"/>
    </row>
    <row r="967" spans="1:26" ht="15.75">
      <c r="A967" s="1"/>
      <c r="X967" s="3"/>
      <c r="Y967" s="3"/>
      <c r="Z967" s="50"/>
    </row>
    <row r="968" spans="1:26" ht="15.75">
      <c r="A968" s="1"/>
      <c r="X968" s="3"/>
      <c r="Y968" s="3"/>
      <c r="Z968" s="50"/>
    </row>
    <row r="969" spans="1:26" ht="15.75">
      <c r="A969" s="1"/>
      <c r="X969" s="3"/>
      <c r="Y969" s="3"/>
      <c r="Z969" s="50"/>
    </row>
    <row r="970" spans="1:26" ht="15.75">
      <c r="A970" s="1"/>
      <c r="X970" s="3"/>
      <c r="Y970" s="3"/>
      <c r="Z970" s="50"/>
    </row>
    <row r="971" spans="1:26" ht="15.75">
      <c r="A971" s="1"/>
      <c r="X971" s="3"/>
      <c r="Y971" s="3"/>
      <c r="Z971" s="50"/>
    </row>
    <row r="972" spans="1:26" ht="15.75">
      <c r="A972" s="1"/>
      <c r="X972" s="3"/>
      <c r="Y972" s="3"/>
      <c r="Z972" s="50"/>
    </row>
    <row r="973" spans="1:26" ht="15.75">
      <c r="A973" s="1"/>
      <c r="X973" s="3"/>
      <c r="Y973" s="3"/>
      <c r="Z973" s="50"/>
    </row>
    <row r="974" spans="1:26" ht="15.75">
      <c r="A974" s="1"/>
      <c r="X974" s="3"/>
      <c r="Y974" s="3"/>
      <c r="Z974" s="50"/>
    </row>
    <row r="975" spans="1:26" ht="15.75">
      <c r="A975" s="1"/>
      <c r="X975" s="3"/>
      <c r="Y975" s="3"/>
      <c r="Z975" s="50"/>
    </row>
    <row r="976" spans="1:26" ht="15.75">
      <c r="A976" s="1"/>
      <c r="X976" s="3"/>
      <c r="Y976" s="3"/>
      <c r="Z976" s="50"/>
    </row>
    <row r="977" spans="1:26" ht="15.75">
      <c r="A977" s="1"/>
      <c r="X977" s="3"/>
      <c r="Y977" s="3"/>
      <c r="Z977" s="50"/>
    </row>
    <row r="978" spans="1:26" ht="15.75">
      <c r="A978" s="1"/>
      <c r="X978" s="3"/>
      <c r="Y978" s="3"/>
      <c r="Z978" s="50"/>
    </row>
    <row r="979" spans="1:26" ht="15.75">
      <c r="A979" s="1"/>
      <c r="X979" s="3"/>
      <c r="Y979" s="3"/>
      <c r="Z979" s="50"/>
    </row>
    <row r="980" spans="1:26" ht="15.75">
      <c r="A980" s="1"/>
      <c r="X980" s="3"/>
      <c r="Y980" s="3"/>
      <c r="Z980" s="50"/>
    </row>
    <row r="981" spans="1:26" ht="15.75">
      <c r="A981" s="1"/>
      <c r="X981" s="3"/>
      <c r="Y981" s="3"/>
      <c r="Z981" s="50"/>
    </row>
    <row r="982" spans="1:26" ht="15.75">
      <c r="A982" s="1"/>
      <c r="X982" s="3"/>
      <c r="Y982" s="3"/>
      <c r="Z982" s="50"/>
    </row>
    <row r="983" spans="1:26" ht="15.75">
      <c r="A983" s="1"/>
      <c r="X983" s="3"/>
      <c r="Y983" s="3"/>
      <c r="Z983" s="50"/>
    </row>
    <row r="984" spans="1:26" ht="15.75">
      <c r="A984" s="1"/>
      <c r="X984" s="3"/>
      <c r="Y984" s="3"/>
      <c r="Z984" s="50"/>
    </row>
    <row r="985" spans="1:26" ht="15.75">
      <c r="A985" s="1"/>
      <c r="X985" s="3"/>
      <c r="Y985" s="3"/>
      <c r="Z985" s="50"/>
    </row>
    <row r="986" spans="1:26" ht="15.75">
      <c r="A986" s="1"/>
      <c r="X986" s="3"/>
      <c r="Y986" s="3"/>
      <c r="Z986" s="50"/>
    </row>
    <row r="987" spans="1:26" ht="15.75">
      <c r="A987" s="1"/>
      <c r="X987" s="3"/>
      <c r="Y987" s="3"/>
      <c r="Z987" s="50"/>
    </row>
    <row r="988" spans="1:26" ht="15.75">
      <c r="A988" s="1"/>
      <c r="X988" s="3"/>
      <c r="Y988" s="3"/>
      <c r="Z988" s="50"/>
    </row>
    <row r="989" spans="1:26" ht="15.75">
      <c r="A989" s="1"/>
      <c r="X989" s="3"/>
      <c r="Y989" s="3"/>
      <c r="Z989" s="50"/>
    </row>
    <row r="990" spans="1:26" ht="15.75">
      <c r="A990" s="1"/>
      <c r="X990" s="3"/>
      <c r="Y990" s="3"/>
      <c r="Z990" s="50"/>
    </row>
    <row r="991" spans="1:26" ht="15.75">
      <c r="A991" s="1"/>
      <c r="X991" s="3"/>
      <c r="Y991" s="3"/>
      <c r="Z991" s="50"/>
    </row>
    <row r="992" spans="1:26" ht="15.75">
      <c r="A992" s="1"/>
      <c r="X992" s="3"/>
      <c r="Y992" s="3"/>
      <c r="Z992" s="50"/>
    </row>
    <row r="993" spans="1:26" ht="15.75">
      <c r="A993" s="1"/>
      <c r="X993" s="3"/>
      <c r="Y993" s="3"/>
      <c r="Z993" s="50"/>
    </row>
    <row r="994" spans="1:26" ht="15.75">
      <c r="A994" s="1"/>
      <c r="X994" s="3"/>
      <c r="Y994" s="3"/>
      <c r="Z994" s="50"/>
    </row>
    <row r="995" spans="1:26" ht="15.75">
      <c r="A995" s="1"/>
      <c r="X995" s="3"/>
      <c r="Y995" s="3"/>
      <c r="Z995" s="50"/>
    </row>
    <row r="996" spans="1:26" ht="15.75">
      <c r="A996" s="1"/>
      <c r="X996" s="3"/>
      <c r="Y996" s="3"/>
      <c r="Z996" s="50"/>
    </row>
    <row r="997" spans="1:26" ht="15.75">
      <c r="A997" s="1"/>
      <c r="X997" s="3"/>
      <c r="Y997" s="3"/>
      <c r="Z997" s="50"/>
    </row>
    <row r="998" spans="1:26" ht="15.75">
      <c r="A998" s="1"/>
      <c r="X998" s="3"/>
      <c r="Y998" s="3"/>
      <c r="Z998" s="50"/>
    </row>
    <row r="999" spans="1:26" ht="15.75">
      <c r="A999" s="1"/>
      <c r="X999" s="3"/>
      <c r="Y999" s="3"/>
      <c r="Z999" s="50"/>
    </row>
    <row r="1000" spans="1:26" ht="15.75">
      <c r="A1000" s="1"/>
      <c r="X1000" s="3"/>
      <c r="Y1000" s="3"/>
      <c r="Z1000" s="50"/>
    </row>
  </sheetData>
  <sheetProtection/>
  <mergeCells count="12">
    <mergeCell ref="F8:G10"/>
    <mergeCell ref="F11:G13"/>
    <mergeCell ref="F14:G15"/>
    <mergeCell ref="A15:B15"/>
    <mergeCell ref="F16:G19"/>
    <mergeCell ref="C18:D19"/>
    <mergeCell ref="B21:G22"/>
    <mergeCell ref="A1:E1"/>
    <mergeCell ref="A3:D3"/>
    <mergeCell ref="A5:D14"/>
    <mergeCell ref="E5:E7"/>
    <mergeCell ref="F5:G7"/>
  </mergeCells>
  <printOptions/>
  <pageMargins left="0.7" right="0.7" top="0.75" bottom="0.75" header="0" footer="0"/>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LJBirkin</dc:creator>
  <cp:keywords/>
  <dc:description/>
  <cp:lastModifiedBy>Linda</cp:lastModifiedBy>
  <dcterms:created xsi:type="dcterms:W3CDTF">2018-10-04T10:41:40Z</dcterms:created>
  <dcterms:modified xsi:type="dcterms:W3CDTF">2023-07-25T16:47:30Z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